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3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150" yWindow="75" windowWidth="18660" windowHeight="10890" firstSheet="11" activeTab="12"/>
  </bookViews>
  <sheets>
    <sheet name="Инвестиционная программа" sheetId="13" state="hidden" r:id="rId1"/>
    <sheet name="Свод по цехам_Инвестиции" sheetId="1" state="hidden" r:id="rId2"/>
    <sheet name="Диаг_Распред инвест-ий по цехам" sheetId="6" state="hidden" r:id="rId3"/>
    <sheet name="Диаг_Инвестпрогр по годам" sheetId="5" state="hidden" r:id="rId4"/>
    <sheet name="Диаг_Инвест прог в разрезе цехо" sheetId="2" state="hidden" r:id="rId5"/>
    <sheet name="Диаг_Инвестиции нарост итогом" sheetId="3" state="hidden" r:id="rId6"/>
    <sheet name="Свод по цехам_Потери добычи" sheetId="7" state="hidden" r:id="rId7"/>
    <sheet name="Диаг_Сниж потерь по цехам (тн)" sheetId="8" state="hidden" r:id="rId8"/>
    <sheet name="Диаг_Сниж потерь по цехам (руб)" sheetId="10" state="hidden" r:id="rId9"/>
    <sheet name="Диаг_Сниж потерь по годам (тн)" sheetId="11" state="hidden" r:id="rId10"/>
    <sheet name="Диаг_Сниж потерь по годам (руб)" sheetId="12" state="hidden" r:id="rId11"/>
    <sheet name="ДК Р 18-25" sheetId="14" r:id="rId12"/>
    <sheet name="ДК П 18-25" sheetId="23" r:id="rId13"/>
    <sheet name="Лист1" sheetId="30" state="hidden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xlnm._FilterDatabase" localSheetId="12" hidden="1">'ДК П 18-25'!$A$12:$S$72</definedName>
    <definedName name="_xlnm._FilterDatabase" localSheetId="11" hidden="1">'ДК Р 18-25'!$A$13:$AN$38</definedName>
    <definedName name="_xlnm.Print_Area" localSheetId="12">'ДК П 18-25'!$A$1:$S$75</definedName>
    <definedName name="_xlnm.Print_Area" localSheetId="11">'ДК Р 18-25'!$A$1:$S$39</definedName>
  </definedNames>
  <calcPr calcId="145621"/>
</workbook>
</file>

<file path=xl/calcChain.xml><?xml version="1.0" encoding="utf-8"?>
<calcChain xmlns="http://schemas.openxmlformats.org/spreadsheetml/2006/main">
  <c r="O34" i="14" l="1"/>
  <c r="K34" i="14"/>
  <c r="L66" i="23" l="1"/>
  <c r="M66" i="23"/>
  <c r="N66" i="23"/>
  <c r="O30" i="14"/>
  <c r="O31" i="14"/>
  <c r="O32" i="14" l="1"/>
  <c r="K32" i="14" s="1"/>
  <c r="O33" i="14"/>
  <c r="K33" i="14" s="1"/>
  <c r="K30" i="14"/>
  <c r="K31" i="14"/>
  <c r="O57" i="23" l="1"/>
  <c r="K57" i="23" s="1"/>
  <c r="O48" i="23"/>
  <c r="K48" i="23" s="1"/>
  <c r="O47" i="23"/>
  <c r="K47" i="23" s="1"/>
  <c r="O42" i="23"/>
  <c r="K42" i="23" s="1"/>
  <c r="O41" i="23"/>
  <c r="K41" i="23" s="1"/>
  <c r="O40" i="23"/>
  <c r="K40" i="23" s="1"/>
  <c r="O39" i="23"/>
  <c r="K39" i="23" s="1"/>
  <c r="O38" i="23"/>
  <c r="K38" i="23" s="1"/>
  <c r="O34" i="23"/>
  <c r="K34" i="23" s="1"/>
  <c r="O24" i="23"/>
  <c r="K24" i="23" s="1"/>
  <c r="O23" i="23"/>
  <c r="K23" i="23" s="1"/>
  <c r="O22" i="23"/>
  <c r="K22" i="23" s="1"/>
  <c r="O21" i="23"/>
  <c r="K21" i="23" s="1"/>
  <c r="O20" i="23"/>
  <c r="K20" i="23" s="1"/>
  <c r="O29" i="14"/>
  <c r="K29" i="14" s="1"/>
  <c r="O28" i="14"/>
  <c r="K28" i="14" s="1"/>
  <c r="O27" i="14"/>
  <c r="K27" i="14" s="1"/>
  <c r="O21" i="14"/>
  <c r="K21" i="14" s="1"/>
  <c r="O19" i="14"/>
  <c r="K19" i="14" s="1"/>
  <c r="O15" i="14"/>
  <c r="K15" i="14" s="1"/>
  <c r="O14" i="14"/>
  <c r="K14" i="14" l="1"/>
  <c r="K66" i="23"/>
  <c r="O66" i="23"/>
  <c r="R28" i="14"/>
  <c r="O35" i="23" l="1"/>
  <c r="O36" i="23"/>
  <c r="O37" i="23"/>
  <c r="O43" i="23"/>
  <c r="O44" i="23"/>
  <c r="O46" i="23"/>
  <c r="O50" i="23"/>
  <c r="O52" i="23"/>
  <c r="O53" i="23"/>
  <c r="O55" i="23"/>
  <c r="O58" i="23"/>
  <c r="O59" i="23"/>
  <c r="O60" i="23"/>
  <c r="O61" i="23"/>
  <c r="O62" i="23"/>
  <c r="O63" i="23"/>
  <c r="O65" i="23"/>
  <c r="O25" i="23"/>
  <c r="O45" i="23"/>
  <c r="L15" i="23" l="1"/>
  <c r="M15" i="23"/>
  <c r="K15" i="23" l="1"/>
  <c r="M22" i="14"/>
  <c r="N22" i="14"/>
  <c r="M20" i="14"/>
  <c r="N20" i="14"/>
  <c r="M13" i="14"/>
  <c r="N13" i="14"/>
  <c r="K22" i="14" l="1"/>
  <c r="L13" i="14"/>
  <c r="L20" i="14"/>
  <c r="R27" i="14"/>
  <c r="R21" i="14"/>
  <c r="R14" i="14"/>
  <c r="O13" i="14"/>
  <c r="R15" i="14"/>
  <c r="O20" i="14" l="1"/>
  <c r="K20" i="14"/>
  <c r="K13" i="14"/>
  <c r="K16" i="14"/>
  <c r="L16" i="14"/>
  <c r="N15" i="23" l="1"/>
  <c r="L22" i="14" l="1"/>
  <c r="K26" i="23"/>
  <c r="M24" i="14" l="1"/>
  <c r="N24" i="14"/>
  <c r="Q24" i="14"/>
  <c r="R24" i="14" l="1"/>
  <c r="R29" i="14"/>
  <c r="R19" i="14"/>
  <c r="R63" i="23"/>
  <c r="R57" i="23"/>
  <c r="R58" i="23"/>
  <c r="R59" i="23"/>
  <c r="R60" i="23"/>
  <c r="R61" i="23"/>
  <c r="R62" i="23"/>
  <c r="R39" i="23"/>
  <c r="R40" i="23"/>
  <c r="R41" i="23"/>
  <c r="R42" i="23"/>
  <c r="R43" i="23"/>
  <c r="R44" i="23"/>
  <c r="R45" i="23"/>
  <c r="R46" i="23"/>
  <c r="R47" i="23"/>
  <c r="R48" i="23"/>
  <c r="R49" i="23"/>
  <c r="R50" i="23"/>
  <c r="R51" i="23"/>
  <c r="R52" i="23"/>
  <c r="R53" i="23"/>
  <c r="R54" i="23"/>
  <c r="R55" i="23"/>
  <c r="R56" i="23"/>
  <c r="R38" i="23"/>
  <c r="R37" i="23"/>
  <c r="R36" i="23"/>
  <c r="R24" i="23"/>
  <c r="R23" i="23"/>
  <c r="R66" i="23" s="1"/>
  <c r="N28" i="23" l="1"/>
  <c r="R28" i="23"/>
  <c r="L26" i="14"/>
  <c r="M26" i="14"/>
  <c r="N26" i="14"/>
  <c r="R26" i="14"/>
  <c r="L25" i="14"/>
  <c r="M25" i="14"/>
  <c r="N25" i="14"/>
  <c r="R25" i="14"/>
  <c r="L18" i="14"/>
  <c r="L34" i="14" s="1"/>
  <c r="M18" i="14"/>
  <c r="M34" i="14" s="1"/>
  <c r="N18" i="14"/>
  <c r="N34" i="14" s="1"/>
  <c r="M16" i="14"/>
  <c r="N16" i="14"/>
  <c r="M37" i="14" l="1"/>
  <c r="L37" i="14"/>
  <c r="N37" i="14"/>
  <c r="O64" i="23" l="1"/>
  <c r="M56" i="23"/>
  <c r="O56" i="23" s="1"/>
  <c r="N16" i="23" l="1"/>
  <c r="N67" i="23" s="1"/>
  <c r="L33" i="23"/>
  <c r="M33" i="23"/>
  <c r="N33" i="23"/>
  <c r="R33" i="23"/>
  <c r="N31" i="23"/>
  <c r="N70" i="23" s="1"/>
  <c r="L30" i="23"/>
  <c r="M30" i="23"/>
  <c r="R30" i="23"/>
  <c r="L29" i="23"/>
  <c r="M29" i="23"/>
  <c r="N29" i="23"/>
  <c r="L19" i="23"/>
  <c r="M19" i="23"/>
  <c r="N19" i="23"/>
  <c r="R19" i="23"/>
  <c r="N18" i="23"/>
  <c r="R18" i="23"/>
  <c r="L17" i="23"/>
  <c r="L69" i="23" s="1"/>
  <c r="M17" i="23"/>
  <c r="M69" i="23" s="1"/>
  <c r="N17" i="23"/>
  <c r="O19" i="23"/>
  <c r="K19" i="23"/>
  <c r="Q20" i="23"/>
  <c r="Q66" i="23" s="1"/>
  <c r="L16" i="23"/>
  <c r="M68" i="23" l="1"/>
  <c r="L68" i="23"/>
  <c r="N72" i="23"/>
  <c r="R72" i="23"/>
  <c r="N68" i="23"/>
  <c r="R32" i="23"/>
  <c r="R71" i="23" s="1"/>
  <c r="R31" i="23"/>
  <c r="R70" i="23" s="1"/>
  <c r="M49" i="23" l="1"/>
  <c r="O49" i="23" s="1"/>
  <c r="M18" i="23" l="1"/>
  <c r="M72" i="23" s="1"/>
  <c r="K17" i="23"/>
  <c r="M54" i="23"/>
  <c r="O54" i="23" s="1"/>
  <c r="M51" i="23"/>
  <c r="O51" i="23" s="1"/>
  <c r="N32" i="23" l="1"/>
  <c r="N71" i="23" s="1"/>
  <c r="K18" i="23"/>
  <c r="O18" i="23"/>
  <c r="O17" i="23"/>
  <c r="L18" i="23"/>
  <c r="L72" i="23" s="1"/>
  <c r="L32" i="23"/>
  <c r="L71" i="23" s="1"/>
  <c r="M32" i="23"/>
  <c r="M71" i="23" s="1"/>
  <c r="M28" i="23"/>
  <c r="L28" i="23"/>
  <c r="L67" i="23" s="1"/>
  <c r="K27" i="23" l="1"/>
  <c r="M16" i="23"/>
  <c r="M67" i="23" s="1"/>
  <c r="M31" i="23"/>
  <c r="M70" i="23" s="1"/>
  <c r="N30" i="23"/>
  <c r="N69" i="23" s="1"/>
  <c r="N27" i="23"/>
  <c r="M27" i="23"/>
  <c r="L31" i="23" l="1"/>
  <c r="L70" i="23" s="1"/>
  <c r="L27" i="23"/>
  <c r="K18" i="14" l="1"/>
  <c r="O18" i="14"/>
  <c r="J7" i="30" l="1"/>
  <c r="K7" i="30"/>
  <c r="L7" i="30"/>
  <c r="M7" i="30"/>
  <c r="N7" i="30"/>
  <c r="O7" i="30"/>
  <c r="P7" i="30"/>
  <c r="Q7" i="30"/>
  <c r="R7" i="30"/>
  <c r="S7" i="30"/>
  <c r="T7" i="30"/>
  <c r="X7" i="30"/>
  <c r="J21" i="30"/>
  <c r="K21" i="30"/>
  <c r="L21" i="30"/>
  <c r="M21" i="30"/>
  <c r="N21" i="30"/>
  <c r="O21" i="30"/>
  <c r="P21" i="30"/>
  <c r="Q21" i="30"/>
  <c r="R21" i="30"/>
  <c r="S21" i="30"/>
  <c r="T21" i="30"/>
  <c r="X21" i="30"/>
  <c r="W16" i="30"/>
  <c r="U16" i="30"/>
  <c r="U7" i="30" s="1"/>
  <c r="I16" i="30"/>
  <c r="I21" i="30" s="1"/>
  <c r="W15" i="30"/>
  <c r="W21" i="30" s="1"/>
  <c r="U15" i="30"/>
  <c r="U21" i="30" s="1"/>
  <c r="I15" i="30"/>
  <c r="I7" i="30" l="1"/>
  <c r="W7" i="30"/>
  <c r="Q19" i="23" l="1"/>
  <c r="Q26" i="14" l="1"/>
  <c r="Q32" i="23" l="1"/>
  <c r="Q71" i="23" s="1"/>
  <c r="L23" i="14" l="1"/>
  <c r="M23" i="14"/>
  <c r="N23" i="14"/>
  <c r="N35" i="14" s="1"/>
  <c r="N38" i="14"/>
  <c r="O23" i="14"/>
  <c r="O35" i="14" s="1"/>
  <c r="O26" i="14"/>
  <c r="O25" i="14"/>
  <c r="O37" i="14" s="1"/>
  <c r="K24" i="14"/>
  <c r="K26" i="14"/>
  <c r="K25" i="14"/>
  <c r="K37" i="14" s="1"/>
  <c r="O16" i="14"/>
  <c r="N17" i="14"/>
  <c r="K16" i="23"/>
  <c r="O15" i="23" l="1"/>
  <c r="O16" i="23"/>
  <c r="K30" i="23"/>
  <c r="K69" i="23" s="1"/>
  <c r="K32" i="23"/>
  <c r="K71" i="23" s="1"/>
  <c r="K33" i="23"/>
  <c r="K72" i="23" s="1"/>
  <c r="K28" i="23"/>
  <c r="K67" i="23" s="1"/>
  <c r="O28" i="23"/>
  <c r="O33" i="23"/>
  <c r="O72" i="23" s="1"/>
  <c r="O32" i="23"/>
  <c r="O71" i="23" s="1"/>
  <c r="K31" i="23"/>
  <c r="K70" i="23" s="1"/>
  <c r="O31" i="23"/>
  <c r="O70" i="23" s="1"/>
  <c r="O30" i="23"/>
  <c r="O69" i="23" s="1"/>
  <c r="N36" i="14"/>
  <c r="O38" i="14"/>
  <c r="O67" i="23" l="1"/>
  <c r="R14" i="23"/>
  <c r="Q30" i="23"/>
  <c r="Q31" i="23"/>
  <c r="Q70" i="23" s="1"/>
  <c r="Q35" i="23"/>
  <c r="Q18" i="23"/>
  <c r="Q33" i="23" l="1"/>
  <c r="Q72" i="23" s="1"/>
  <c r="Q28" i="23"/>
  <c r="Q14" i="23"/>
  <c r="O14" i="23" s="1"/>
  <c r="R22" i="14"/>
  <c r="K38" i="14" l="1"/>
  <c r="N14" i="23" l="1"/>
  <c r="M14" i="23" l="1"/>
  <c r="R38" i="14"/>
  <c r="R23" i="14"/>
  <c r="R35" i="14" s="1"/>
  <c r="R17" i="14"/>
  <c r="L35" i="14"/>
  <c r="M35" i="14"/>
  <c r="L17" i="14"/>
  <c r="M17" i="14"/>
  <c r="L14" i="23" l="1"/>
  <c r="R36" i="14"/>
  <c r="K14" i="23" l="1"/>
  <c r="Q25" i="14" l="1"/>
  <c r="Q17" i="14"/>
  <c r="Q36" i="14" l="1"/>
  <c r="Q22" i="14" l="1"/>
  <c r="L38" i="14" l="1"/>
  <c r="M38" i="14"/>
  <c r="Q38" i="14"/>
  <c r="Q23" i="14"/>
  <c r="Q35" i="14" s="1"/>
  <c r="M36" i="14" l="1"/>
  <c r="K23" i="14" l="1"/>
  <c r="K35" i="14" l="1"/>
  <c r="K17" i="14"/>
  <c r="K36" i="14" s="1"/>
  <c r="O17" i="14" l="1"/>
  <c r="Q16" i="7" l="1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R16" i="7" l="1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J14" i="7"/>
  <c r="I14" i="7"/>
  <c r="R15" i="7" l="1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R14" i="7" l="1"/>
  <c r="B13" i="7"/>
  <c r="R13" i="7" s="1"/>
  <c r="Q12" i="7"/>
  <c r="P12" i="7"/>
  <c r="O12" i="7" l="1"/>
  <c r="N12" i="7"/>
  <c r="M12" i="7"/>
  <c r="L12" i="7"/>
  <c r="K12" i="7"/>
  <c r="J12" i="7"/>
  <c r="I12" i="7"/>
  <c r="H12" i="7"/>
  <c r="G12" i="7"/>
  <c r="F12" i="7"/>
  <c r="E12" i="7"/>
  <c r="D12" i="7"/>
  <c r="C12" i="7"/>
  <c r="B12" i="7" l="1"/>
  <c r="R12" i="7" s="1"/>
  <c r="Q11" i="7"/>
  <c r="P11" i="7"/>
  <c r="O11" i="7"/>
  <c r="N11" i="7"/>
  <c r="M11" i="7"/>
  <c r="L11" i="7"/>
  <c r="K11" i="7"/>
  <c r="J11" i="7"/>
  <c r="I11" i="7"/>
  <c r="H11" i="7"/>
  <c r="G11" i="7"/>
  <c r="F11" i="7"/>
  <c r="E11" i="7"/>
  <c r="D11" i="7"/>
  <c r="C11" i="7"/>
  <c r="B11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C8" i="7"/>
  <c r="B17" i="7" l="1"/>
  <c r="R11" i="7"/>
  <c r="B8" i="7"/>
  <c r="Q7" i="7" l="1"/>
  <c r="P7" i="7"/>
  <c r="O7" i="7"/>
  <c r="N7" i="7"/>
  <c r="M7" i="7"/>
  <c r="L7" i="7"/>
  <c r="K7" i="7" l="1"/>
  <c r="J7" i="7"/>
  <c r="I7" i="7"/>
  <c r="H7" i="7"/>
  <c r="G7" i="7"/>
  <c r="F7" i="7"/>
  <c r="E7" i="7"/>
  <c r="D7" i="7"/>
  <c r="C7" i="7"/>
  <c r="B7" i="7" l="1"/>
  <c r="Q6" i="7"/>
  <c r="P6" i="7"/>
  <c r="O6" i="7"/>
  <c r="N6" i="7"/>
  <c r="M6" i="7"/>
  <c r="L6" i="7"/>
  <c r="K6" i="7"/>
  <c r="J6" i="7"/>
  <c r="I6" i="7"/>
  <c r="H6" i="7"/>
  <c r="G6" i="7"/>
  <c r="F6" i="7"/>
  <c r="E6" i="7"/>
  <c r="R7" i="7" l="1"/>
  <c r="D6" i="7"/>
  <c r="C6" i="7"/>
  <c r="B6" i="7" l="1"/>
  <c r="R6" i="7" s="1"/>
  <c r="Q5" i="7" l="1"/>
  <c r="P5" i="7"/>
  <c r="O5" i="7"/>
  <c r="N5" i="7"/>
  <c r="M5" i="7"/>
  <c r="L5" i="7" l="1"/>
  <c r="K5" i="7"/>
  <c r="J5" i="7"/>
  <c r="I5" i="7"/>
  <c r="H5" i="7"/>
  <c r="G5" i="7"/>
  <c r="F5" i="7"/>
  <c r="E5" i="7"/>
  <c r="D5" i="7" l="1"/>
  <c r="C5" i="7"/>
  <c r="B5" i="7"/>
  <c r="Q4" i="7"/>
  <c r="P4" i="7"/>
  <c r="O4" i="7"/>
  <c r="R5" i="7" l="1"/>
  <c r="N4" i="7"/>
  <c r="M4" i="7"/>
  <c r="L4" i="7"/>
  <c r="K4" i="7"/>
  <c r="J4" i="7"/>
  <c r="I4" i="7"/>
  <c r="H4" i="7"/>
  <c r="G4" i="7"/>
  <c r="F4" i="7"/>
  <c r="E4" i="7"/>
  <c r="D4" i="7"/>
  <c r="C4" i="7"/>
  <c r="B4" i="7" l="1"/>
  <c r="R4" i="7" s="1"/>
  <c r="Q3" i="7"/>
  <c r="P3" i="7"/>
  <c r="O3" i="7"/>
  <c r="N3" i="7"/>
  <c r="M3" i="7"/>
  <c r="L3" i="7"/>
  <c r="K3" i="7"/>
  <c r="J3" i="7"/>
  <c r="I3" i="7"/>
  <c r="H3" i="7"/>
  <c r="G3" i="7"/>
  <c r="F3" i="7"/>
  <c r="E3" i="7"/>
  <c r="D3" i="7"/>
  <c r="C3" i="7"/>
  <c r="B3" i="7"/>
  <c r="R3" i="7" l="1"/>
  <c r="B9" i="7"/>
  <c r="R8" i="7" l="1"/>
  <c r="Q7" i="1" l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 l="1"/>
  <c r="B15" i="1" l="1"/>
  <c r="C15" i="1" s="1"/>
  <c r="D15" i="1" s="1"/>
  <c r="E15" i="1" s="1"/>
  <c r="F15" i="1" s="1"/>
  <c r="G15" i="1" s="1"/>
  <c r="H15" i="1" s="1"/>
  <c r="I15" i="1" s="1"/>
  <c r="J15" i="1" s="1"/>
  <c r="K15" i="1" s="1"/>
  <c r="L15" i="1" s="1"/>
  <c r="M15" i="1" s="1"/>
  <c r="N15" i="1" s="1"/>
  <c r="O15" i="1" s="1"/>
  <c r="P15" i="1" s="1"/>
  <c r="Q15" i="1" s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 l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14" i="1" l="1"/>
  <c r="C14" i="1" s="1"/>
  <c r="D14" i="1" s="1"/>
  <c r="E14" i="1" s="1"/>
  <c r="F14" i="1" s="1"/>
  <c r="G14" i="1" s="1"/>
  <c r="H14" i="1" s="1"/>
  <c r="I14" i="1" s="1"/>
  <c r="J14" i="1" s="1"/>
  <c r="K14" i="1" s="1"/>
  <c r="L14" i="1" s="1"/>
  <c r="M14" i="1" s="1"/>
  <c r="N14" i="1" s="1"/>
  <c r="O14" i="1" s="1"/>
  <c r="P14" i="1" s="1"/>
  <c r="Q14" i="1" s="1"/>
  <c r="R6" i="1"/>
  <c r="B5" i="1"/>
  <c r="R5" i="1" s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B13" i="1" l="1"/>
  <c r="C13" i="1" s="1"/>
  <c r="B4" i="1"/>
  <c r="R4" i="1" s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  <c r="B12" i="1" l="1"/>
  <c r="C12" i="1" s="1"/>
  <c r="D12" i="1" s="1"/>
  <c r="B3" i="1"/>
  <c r="B11" i="1" s="1"/>
  <c r="C11" i="1" s="1"/>
  <c r="Q2" i="1"/>
  <c r="P2" i="1"/>
  <c r="R3" i="1" l="1"/>
  <c r="O2" i="1"/>
  <c r="N2" i="1"/>
  <c r="M2" i="1"/>
  <c r="L2" i="1"/>
  <c r="K2" i="1"/>
  <c r="J2" i="1"/>
  <c r="I2" i="1"/>
  <c r="H2" i="1"/>
  <c r="G2" i="1"/>
  <c r="F2" i="1"/>
  <c r="E2" i="1"/>
  <c r="D2" i="1"/>
  <c r="C2" i="1"/>
  <c r="B2" i="1"/>
  <c r="AN178" i="13"/>
  <c r="AJ178" i="13"/>
  <c r="AI178" i="13"/>
  <c r="AH178" i="13"/>
  <c r="AG178" i="13"/>
  <c r="AF178" i="13"/>
  <c r="AE178" i="13"/>
  <c r="AD178" i="13"/>
  <c r="AC178" i="13"/>
  <c r="AB178" i="13"/>
  <c r="AA178" i="13"/>
  <c r="Z178" i="13"/>
  <c r="Y178" i="13"/>
  <c r="X178" i="13"/>
  <c r="W178" i="13"/>
  <c r="V178" i="13"/>
  <c r="U178" i="13"/>
  <c r="T178" i="13"/>
  <c r="S178" i="13"/>
  <c r="R178" i="13"/>
  <c r="Q178" i="13"/>
  <c r="P178" i="13"/>
  <c r="O178" i="13"/>
  <c r="N178" i="13"/>
  <c r="M178" i="13"/>
  <c r="L178" i="13"/>
  <c r="K178" i="13"/>
  <c r="J178" i="13"/>
  <c r="I178" i="13"/>
  <c r="H178" i="13"/>
  <c r="G178" i="13"/>
  <c r="F178" i="13"/>
  <c r="E178" i="13"/>
  <c r="D178" i="13"/>
  <c r="C178" i="13"/>
  <c r="B178" i="13"/>
  <c r="AN177" i="13"/>
  <c r="AJ177" i="13"/>
  <c r="AI177" i="13"/>
  <c r="AH177" i="13"/>
  <c r="AG177" i="13"/>
  <c r="AF177" i="13"/>
  <c r="AE177" i="13"/>
  <c r="AD177" i="13"/>
  <c r="AC177" i="13"/>
  <c r="AB177" i="13"/>
  <c r="AA177" i="13"/>
  <c r="Z177" i="13"/>
  <c r="Y177" i="13"/>
  <c r="X177" i="13"/>
  <c r="W177" i="13"/>
  <c r="V177" i="13"/>
  <c r="U177" i="13"/>
  <c r="T177" i="13"/>
  <c r="S177" i="13"/>
  <c r="R177" i="13"/>
  <c r="Q177" i="13"/>
  <c r="P177" i="13"/>
  <c r="O177" i="13"/>
  <c r="N177" i="13"/>
  <c r="M177" i="13"/>
  <c r="L177" i="13"/>
  <c r="K177" i="13"/>
  <c r="J177" i="13"/>
  <c r="I177" i="13"/>
  <c r="H177" i="13"/>
  <c r="G177" i="13"/>
  <c r="F177" i="13"/>
  <c r="E177" i="13"/>
  <c r="D177" i="13"/>
  <c r="C177" i="13"/>
  <c r="B177" i="13"/>
  <c r="AN176" i="13"/>
  <c r="AJ176" i="13"/>
  <c r="AI176" i="13"/>
  <c r="AH176" i="13"/>
  <c r="AG176" i="13"/>
  <c r="AF176" i="13"/>
  <c r="AE176" i="13"/>
  <c r="AD176" i="13"/>
  <c r="AC176" i="13"/>
  <c r="AB176" i="13"/>
  <c r="AA176" i="13"/>
  <c r="Z176" i="13"/>
  <c r="Y176" i="13"/>
  <c r="X176" i="13"/>
  <c r="W176" i="13"/>
  <c r="V176" i="13"/>
  <c r="U176" i="13"/>
  <c r="T176" i="13"/>
  <c r="S176" i="13"/>
  <c r="R176" i="13"/>
  <c r="Q176" i="13"/>
  <c r="P176" i="13"/>
  <c r="O176" i="13"/>
  <c r="N176" i="13"/>
  <c r="M176" i="13"/>
  <c r="L176" i="13"/>
  <c r="K176" i="13"/>
  <c r="J176" i="13"/>
  <c r="I176" i="13"/>
  <c r="H176" i="13"/>
  <c r="G176" i="13"/>
  <c r="F176" i="13"/>
  <c r="E176" i="13"/>
  <c r="D176" i="13"/>
  <c r="C176" i="13"/>
  <c r="B176" i="13"/>
  <c r="AN175" i="13"/>
  <c r="AJ175" i="13"/>
  <c r="AI175" i="13"/>
  <c r="AH175" i="13"/>
  <c r="AG175" i="13"/>
  <c r="AF175" i="13"/>
  <c r="AE175" i="13"/>
  <c r="AD175" i="13"/>
  <c r="AC175" i="13"/>
  <c r="AB175" i="13"/>
  <c r="AA175" i="13"/>
  <c r="Z175" i="13"/>
  <c r="Y175" i="13"/>
  <c r="X175" i="13"/>
  <c r="W175" i="13"/>
  <c r="V175" i="13"/>
  <c r="U175" i="13"/>
  <c r="T175" i="13"/>
  <c r="S175" i="13"/>
  <c r="R175" i="13"/>
  <c r="Q175" i="13"/>
  <c r="P175" i="13"/>
  <c r="O175" i="13"/>
  <c r="N175" i="13"/>
  <c r="M175" i="13"/>
  <c r="L175" i="13"/>
  <c r="K175" i="13"/>
  <c r="J175" i="13"/>
  <c r="I175" i="13"/>
  <c r="H175" i="13"/>
  <c r="G175" i="13"/>
  <c r="F175" i="13"/>
  <c r="E175" i="13"/>
  <c r="D175" i="13"/>
  <c r="C175" i="13"/>
  <c r="B175" i="13"/>
  <c r="AN174" i="13"/>
  <c r="AJ174" i="13"/>
  <c r="AI174" i="13"/>
  <c r="AH174" i="13"/>
  <c r="AG174" i="13"/>
  <c r="AF174" i="13"/>
  <c r="AE174" i="13"/>
  <c r="AD174" i="13"/>
  <c r="AC174" i="13"/>
  <c r="AB174" i="13"/>
  <c r="AA174" i="13"/>
  <c r="Z174" i="13"/>
  <c r="Y174" i="13"/>
  <c r="X174" i="13"/>
  <c r="W174" i="13"/>
  <c r="V174" i="13"/>
  <c r="U174" i="13"/>
  <c r="T174" i="13"/>
  <c r="S174" i="13"/>
  <c r="R174" i="13"/>
  <c r="Q174" i="13"/>
  <c r="P174" i="13"/>
  <c r="O174" i="13"/>
  <c r="N174" i="13"/>
  <c r="M174" i="13"/>
  <c r="L174" i="13"/>
  <c r="K174" i="13"/>
  <c r="J174" i="13"/>
  <c r="I174" i="13"/>
  <c r="H174" i="13"/>
  <c r="G174" i="13"/>
  <c r="F174" i="13"/>
  <c r="E174" i="13"/>
  <c r="D174" i="13"/>
  <c r="C174" i="13"/>
  <c r="B174" i="13"/>
  <c r="AN173" i="13"/>
  <c r="AJ173" i="13"/>
  <c r="AI173" i="13"/>
  <c r="AH173" i="13"/>
  <c r="AG173" i="13"/>
  <c r="AF173" i="13"/>
  <c r="AE173" i="13"/>
  <c r="AD173" i="13"/>
  <c r="AC173" i="13"/>
  <c r="AB173" i="13"/>
  <c r="AA173" i="13"/>
  <c r="Z173" i="13"/>
  <c r="Y173" i="13"/>
  <c r="X173" i="13"/>
  <c r="W173" i="13"/>
  <c r="V173" i="13"/>
  <c r="U173" i="13"/>
  <c r="T173" i="13"/>
  <c r="S173" i="13"/>
  <c r="R173" i="13"/>
  <c r="Q173" i="13"/>
  <c r="P173" i="13"/>
  <c r="O173" i="13"/>
  <c r="N173" i="13"/>
  <c r="M173" i="13"/>
  <c r="L173" i="13"/>
  <c r="K173" i="13"/>
  <c r="J173" i="13"/>
  <c r="I173" i="13"/>
  <c r="H173" i="13"/>
  <c r="G173" i="13"/>
  <c r="F173" i="13"/>
  <c r="E173" i="13"/>
  <c r="D173" i="13"/>
  <c r="C173" i="13"/>
  <c r="B173" i="13"/>
  <c r="AN172" i="13"/>
  <c r="AJ172" i="13"/>
  <c r="AI172" i="13"/>
  <c r="AH172" i="13"/>
  <c r="AG172" i="13"/>
  <c r="AF172" i="13"/>
  <c r="AE172" i="13"/>
  <c r="AD172" i="13"/>
  <c r="AC172" i="13"/>
  <c r="AB172" i="13"/>
  <c r="AA172" i="13"/>
  <c r="Z172" i="13"/>
  <c r="Y172" i="13"/>
  <c r="X172" i="13"/>
  <c r="W172" i="13"/>
  <c r="V172" i="13"/>
  <c r="U172" i="13"/>
  <c r="T172" i="13"/>
  <c r="S172" i="13"/>
  <c r="R172" i="13"/>
  <c r="Q172" i="13"/>
  <c r="P172" i="13"/>
  <c r="O172" i="13"/>
  <c r="N172" i="13"/>
  <c r="M172" i="13"/>
  <c r="L172" i="13"/>
  <c r="K172" i="13"/>
  <c r="J172" i="13"/>
  <c r="I172" i="13"/>
  <c r="H172" i="13"/>
  <c r="G172" i="13"/>
  <c r="F172" i="13"/>
  <c r="E172" i="13"/>
  <c r="D172" i="13"/>
  <c r="C172" i="13"/>
  <c r="B172" i="13"/>
  <c r="A171" i="13" s="1"/>
  <c r="AN170" i="13"/>
  <c r="AJ170" i="13"/>
  <c r="AI170" i="13"/>
  <c r="AH170" i="13"/>
  <c r="AG170" i="13"/>
  <c r="AF170" i="13"/>
  <c r="AE170" i="13"/>
  <c r="AD170" i="13"/>
  <c r="AC170" i="13"/>
  <c r="AB170" i="13"/>
  <c r="AA170" i="13"/>
  <c r="Z170" i="13"/>
  <c r="Y170" i="13"/>
  <c r="X170" i="13"/>
  <c r="W170" i="13"/>
  <c r="V170" i="13"/>
  <c r="U170" i="13"/>
  <c r="T170" i="13"/>
  <c r="S170" i="13"/>
  <c r="R170" i="13"/>
  <c r="Q170" i="13"/>
  <c r="P170" i="13"/>
  <c r="O170" i="13"/>
  <c r="N170" i="13"/>
  <c r="M170" i="13"/>
  <c r="L170" i="13"/>
  <c r="K170" i="13"/>
  <c r="J170" i="13"/>
  <c r="I170" i="13"/>
  <c r="H170" i="13"/>
  <c r="G170" i="13"/>
  <c r="F170" i="13"/>
  <c r="E170" i="13"/>
  <c r="D170" i="13"/>
  <c r="C170" i="13"/>
  <c r="B170" i="13"/>
  <c r="AN169" i="13"/>
  <c r="AJ169" i="13"/>
  <c r="AI169" i="13"/>
  <c r="AH169" i="13"/>
  <c r="AG169" i="13"/>
  <c r="AF169" i="13"/>
  <c r="AE169" i="13"/>
  <c r="AD169" i="13"/>
  <c r="AC169" i="13"/>
  <c r="AB169" i="13"/>
  <c r="AA169" i="13"/>
  <c r="Z169" i="13"/>
  <c r="Y169" i="13"/>
  <c r="X169" i="13"/>
  <c r="W169" i="13"/>
  <c r="V169" i="13"/>
  <c r="U169" i="13"/>
  <c r="T169" i="13"/>
  <c r="S169" i="13"/>
  <c r="R169" i="13"/>
  <c r="Q169" i="13"/>
  <c r="P169" i="13"/>
  <c r="O169" i="13"/>
  <c r="N169" i="13"/>
  <c r="M169" i="13"/>
  <c r="L169" i="13"/>
  <c r="K169" i="13"/>
  <c r="J169" i="13"/>
  <c r="I169" i="13"/>
  <c r="H169" i="13"/>
  <c r="G169" i="13"/>
  <c r="F169" i="13"/>
  <c r="E169" i="13"/>
  <c r="D169" i="13"/>
  <c r="C169" i="13"/>
  <c r="B169" i="13"/>
  <c r="AN168" i="13"/>
  <c r="AJ168" i="13"/>
  <c r="AI168" i="13"/>
  <c r="AH168" i="13"/>
  <c r="AG168" i="13"/>
  <c r="AF168" i="13"/>
  <c r="AE168" i="13"/>
  <c r="AD168" i="13"/>
  <c r="AC168" i="13"/>
  <c r="AB168" i="13"/>
  <c r="AA168" i="13"/>
  <c r="Z168" i="13"/>
  <c r="Y168" i="13"/>
  <c r="X168" i="13"/>
  <c r="W168" i="13"/>
  <c r="V168" i="13"/>
  <c r="U168" i="13"/>
  <c r="T168" i="13"/>
  <c r="S168" i="13"/>
  <c r="R168" i="13"/>
  <c r="Q168" i="13"/>
  <c r="P168" i="13"/>
  <c r="O168" i="13"/>
  <c r="N168" i="13"/>
  <c r="M168" i="13"/>
  <c r="L168" i="13"/>
  <c r="K168" i="13"/>
  <c r="J168" i="13"/>
  <c r="I168" i="13"/>
  <c r="H168" i="13"/>
  <c r="G168" i="13"/>
  <c r="F168" i="13"/>
  <c r="E168" i="13"/>
  <c r="D168" i="13"/>
  <c r="C168" i="13"/>
  <c r="B168" i="13"/>
  <c r="AN167" i="13"/>
  <c r="AJ167" i="13"/>
  <c r="AI167" i="13"/>
  <c r="AH167" i="13"/>
  <c r="AG167" i="13"/>
  <c r="AF167" i="13"/>
  <c r="AE167" i="13"/>
  <c r="AD167" i="13"/>
  <c r="AC167" i="13"/>
  <c r="AB167" i="13"/>
  <c r="AA167" i="13"/>
  <c r="Z167" i="13"/>
  <c r="Y167" i="13"/>
  <c r="X167" i="13"/>
  <c r="W167" i="13"/>
  <c r="V167" i="13"/>
  <c r="U167" i="13"/>
  <c r="T167" i="13"/>
  <c r="S167" i="13"/>
  <c r="R167" i="13"/>
  <c r="Q167" i="13"/>
  <c r="P167" i="13"/>
  <c r="O167" i="13"/>
  <c r="N167" i="13"/>
  <c r="M167" i="13"/>
  <c r="L167" i="13"/>
  <c r="K167" i="13"/>
  <c r="J167" i="13"/>
  <c r="I167" i="13"/>
  <c r="H167" i="13"/>
  <c r="G167" i="13"/>
  <c r="F167" i="13"/>
  <c r="E167" i="13"/>
  <c r="D167" i="13"/>
  <c r="C167" i="13"/>
  <c r="B167" i="13"/>
  <c r="AN166" i="13"/>
  <c r="AJ166" i="13"/>
  <c r="AI166" i="13"/>
  <c r="AH166" i="13"/>
  <c r="AG166" i="13"/>
  <c r="AF166" i="13"/>
  <c r="AE166" i="13"/>
  <c r="AD166" i="13"/>
  <c r="AC166" i="13"/>
  <c r="AB166" i="13"/>
  <c r="AA166" i="13"/>
  <c r="Z166" i="13"/>
  <c r="Y166" i="13"/>
  <c r="X166" i="13"/>
  <c r="W166" i="13"/>
  <c r="V166" i="13"/>
  <c r="U166" i="13"/>
  <c r="T166" i="13"/>
  <c r="S166" i="13"/>
  <c r="R166" i="13"/>
  <c r="Q166" i="13"/>
  <c r="P166" i="13"/>
  <c r="O166" i="13"/>
  <c r="N166" i="13"/>
  <c r="M166" i="13"/>
  <c r="L166" i="13"/>
  <c r="K166" i="13"/>
  <c r="J166" i="13"/>
  <c r="I166" i="13"/>
  <c r="H166" i="13"/>
  <c r="G166" i="13"/>
  <c r="F166" i="13"/>
  <c r="E166" i="13"/>
  <c r="D166" i="13"/>
  <c r="C166" i="13"/>
  <c r="B166" i="13"/>
  <c r="AN165" i="13"/>
  <c r="AJ165" i="13"/>
  <c r="AI165" i="13"/>
  <c r="AH165" i="13"/>
  <c r="AG165" i="13"/>
  <c r="AF165" i="13"/>
  <c r="AE165" i="13"/>
  <c r="AD165" i="13"/>
  <c r="AC165" i="13"/>
  <c r="AB165" i="13"/>
  <c r="AA165" i="13"/>
  <c r="Z165" i="13"/>
  <c r="Y165" i="13"/>
  <c r="X165" i="13"/>
  <c r="W165" i="13"/>
  <c r="V165" i="13"/>
  <c r="U165" i="13"/>
  <c r="T165" i="13"/>
  <c r="S165" i="13"/>
  <c r="R165" i="13"/>
  <c r="Q165" i="13"/>
  <c r="P165" i="13"/>
  <c r="O165" i="13"/>
  <c r="N165" i="13"/>
  <c r="M165" i="13"/>
  <c r="L165" i="13"/>
  <c r="K165" i="13"/>
  <c r="J165" i="13"/>
  <c r="I165" i="13"/>
  <c r="H165" i="13"/>
  <c r="G165" i="13"/>
  <c r="F165" i="13"/>
  <c r="E165" i="13"/>
  <c r="D165" i="13"/>
  <c r="C165" i="13"/>
  <c r="B165" i="13"/>
  <c r="AN164" i="13"/>
  <c r="AJ164" i="13"/>
  <c r="AI164" i="13"/>
  <c r="AH164" i="13"/>
  <c r="AG164" i="13"/>
  <c r="AF164" i="13"/>
  <c r="AE164" i="13"/>
  <c r="AD164" i="13"/>
  <c r="AC164" i="13"/>
  <c r="AB164" i="13"/>
  <c r="AA164" i="13"/>
  <c r="Z164" i="13"/>
  <c r="Y164" i="13"/>
  <c r="X164" i="13"/>
  <c r="W164" i="13"/>
  <c r="V164" i="13"/>
  <c r="U164" i="13"/>
  <c r="T164" i="13"/>
  <c r="S164" i="13"/>
  <c r="R164" i="13"/>
  <c r="Q164" i="13"/>
  <c r="P164" i="13"/>
  <c r="O164" i="13"/>
  <c r="N164" i="13"/>
  <c r="M164" i="13"/>
  <c r="L164" i="13"/>
  <c r="K164" i="13"/>
  <c r="J164" i="13"/>
  <c r="I164" i="13"/>
  <c r="H164" i="13"/>
  <c r="G164" i="13"/>
  <c r="F164" i="13"/>
  <c r="E164" i="13"/>
  <c r="D164" i="13"/>
  <c r="C164" i="13"/>
  <c r="B164" i="13"/>
  <c r="AN163" i="13"/>
  <c r="AJ163" i="13"/>
  <c r="AI163" i="13"/>
  <c r="AH163" i="13"/>
  <c r="AG163" i="13"/>
  <c r="AF163" i="13"/>
  <c r="AE163" i="13"/>
  <c r="AD163" i="13"/>
  <c r="AC163" i="13"/>
  <c r="AB163" i="13"/>
  <c r="AA163" i="13"/>
  <c r="Z163" i="13"/>
  <c r="Y163" i="13"/>
  <c r="X163" i="13"/>
  <c r="W163" i="13"/>
  <c r="V163" i="13"/>
  <c r="U163" i="13"/>
  <c r="T163" i="13"/>
  <c r="S163" i="13"/>
  <c r="R163" i="13"/>
  <c r="Q163" i="13"/>
  <c r="P163" i="13"/>
  <c r="O163" i="13"/>
  <c r="N163" i="13"/>
  <c r="M163" i="13"/>
  <c r="L163" i="13"/>
  <c r="K163" i="13"/>
  <c r="J163" i="13"/>
  <c r="I163" i="13"/>
  <c r="H163" i="13"/>
  <c r="G163" i="13"/>
  <c r="F163" i="13"/>
  <c r="E163" i="13"/>
  <c r="D163" i="13"/>
  <c r="C163" i="13"/>
  <c r="B163" i="13"/>
  <c r="AN162" i="13"/>
  <c r="AJ162" i="13"/>
  <c r="AI162" i="13"/>
  <c r="AH162" i="13"/>
  <c r="AG162" i="13"/>
  <c r="AF162" i="13"/>
  <c r="AE162" i="13"/>
  <c r="AD162" i="13"/>
  <c r="AC162" i="13"/>
  <c r="AB162" i="13"/>
  <c r="AA162" i="13"/>
  <c r="Z162" i="13"/>
  <c r="Y162" i="13"/>
  <c r="X162" i="13"/>
  <c r="W162" i="13"/>
  <c r="V162" i="13"/>
  <c r="U162" i="13"/>
  <c r="T162" i="13"/>
  <c r="S162" i="13"/>
  <c r="R162" i="13"/>
  <c r="Q162" i="13"/>
  <c r="P162" i="13"/>
  <c r="O162" i="13"/>
  <c r="N162" i="13"/>
  <c r="M162" i="13"/>
  <c r="L162" i="13"/>
  <c r="K162" i="13"/>
  <c r="J162" i="13"/>
  <c r="I162" i="13"/>
  <c r="H162" i="13"/>
  <c r="G162" i="13"/>
  <c r="F162" i="13"/>
  <c r="E162" i="13"/>
  <c r="D162" i="13"/>
  <c r="C162" i="13"/>
  <c r="B162" i="13"/>
  <c r="A161" i="13" s="1"/>
  <c r="AN159" i="13"/>
  <c r="AJ159" i="13"/>
  <c r="AI159" i="13"/>
  <c r="AH159" i="13"/>
  <c r="AG159" i="13"/>
  <c r="AF159" i="13"/>
  <c r="AE159" i="13"/>
  <c r="AD159" i="13"/>
  <c r="AC159" i="13"/>
  <c r="AB159" i="13"/>
  <c r="AA159" i="13"/>
  <c r="Z159" i="13"/>
  <c r="Y159" i="13"/>
  <c r="X159" i="13"/>
  <c r="W159" i="13"/>
  <c r="V159" i="13"/>
  <c r="U159" i="13"/>
  <c r="T159" i="13"/>
  <c r="S159" i="13"/>
  <c r="R159" i="13"/>
  <c r="Q159" i="13"/>
  <c r="P159" i="13"/>
  <c r="O159" i="13"/>
  <c r="N159" i="13"/>
  <c r="M159" i="13"/>
  <c r="L159" i="13"/>
  <c r="K159" i="13"/>
  <c r="J159" i="13"/>
  <c r="I159" i="13"/>
  <c r="H159" i="13"/>
  <c r="G159" i="13"/>
  <c r="F159" i="13"/>
  <c r="E159" i="13"/>
  <c r="D159" i="13"/>
  <c r="C159" i="13"/>
  <c r="B159" i="13"/>
  <c r="AN158" i="13"/>
  <c r="AJ158" i="13"/>
  <c r="AI158" i="13"/>
  <c r="AH158" i="13"/>
  <c r="AG158" i="13"/>
  <c r="AF158" i="13"/>
  <c r="AE158" i="13"/>
  <c r="AD158" i="13"/>
  <c r="AC158" i="13"/>
  <c r="AB158" i="13"/>
  <c r="AA158" i="13"/>
  <c r="Z158" i="13"/>
  <c r="Y158" i="13"/>
  <c r="X158" i="13"/>
  <c r="W158" i="13"/>
  <c r="V158" i="13"/>
  <c r="U158" i="13"/>
  <c r="T158" i="13"/>
  <c r="S158" i="13"/>
  <c r="R158" i="13"/>
  <c r="Q158" i="13"/>
  <c r="P158" i="13"/>
  <c r="O158" i="13"/>
  <c r="N158" i="13"/>
  <c r="M158" i="13"/>
  <c r="L158" i="13"/>
  <c r="K158" i="13"/>
  <c r="J158" i="13"/>
  <c r="I158" i="13"/>
  <c r="H158" i="13"/>
  <c r="G158" i="13"/>
  <c r="F158" i="13"/>
  <c r="E158" i="13"/>
  <c r="D158" i="13"/>
  <c r="C158" i="13"/>
  <c r="B158" i="13"/>
  <c r="AN157" i="13"/>
  <c r="AJ157" i="13"/>
  <c r="AI157" i="13"/>
  <c r="AH157" i="13"/>
  <c r="AG157" i="13"/>
  <c r="AF157" i="13"/>
  <c r="AE157" i="13"/>
  <c r="AD157" i="13"/>
  <c r="AC157" i="13"/>
  <c r="AB157" i="13"/>
  <c r="AA157" i="13"/>
  <c r="Z157" i="13"/>
  <c r="Y157" i="13"/>
  <c r="X157" i="13"/>
  <c r="W157" i="13"/>
  <c r="V157" i="13"/>
  <c r="U157" i="13"/>
  <c r="T157" i="13"/>
  <c r="S157" i="13"/>
  <c r="R157" i="13"/>
  <c r="Q157" i="13"/>
  <c r="P157" i="13"/>
  <c r="O157" i="13"/>
  <c r="N157" i="13"/>
  <c r="M157" i="13"/>
  <c r="L157" i="13"/>
  <c r="K157" i="13"/>
  <c r="J157" i="13"/>
  <c r="I157" i="13"/>
  <c r="H157" i="13"/>
  <c r="G157" i="13"/>
  <c r="F157" i="13"/>
  <c r="E157" i="13"/>
  <c r="D157" i="13"/>
  <c r="C157" i="13"/>
  <c r="B157" i="13"/>
  <c r="AN156" i="13"/>
  <c r="AJ156" i="13"/>
  <c r="AI156" i="13"/>
  <c r="AH156" i="13"/>
  <c r="AG156" i="13"/>
  <c r="AF156" i="13"/>
  <c r="AE156" i="13"/>
  <c r="AD156" i="13"/>
  <c r="AC156" i="13"/>
  <c r="AB156" i="13"/>
  <c r="AA156" i="13"/>
  <c r="Z156" i="13"/>
  <c r="Y156" i="13"/>
  <c r="X156" i="13"/>
  <c r="W156" i="13"/>
  <c r="V156" i="13"/>
  <c r="U156" i="13"/>
  <c r="T156" i="13"/>
  <c r="S156" i="13"/>
  <c r="R156" i="13"/>
  <c r="Q156" i="13"/>
  <c r="P156" i="13"/>
  <c r="O156" i="13"/>
  <c r="N156" i="13"/>
  <c r="M156" i="13"/>
  <c r="L156" i="13"/>
  <c r="K156" i="13"/>
  <c r="J156" i="13"/>
  <c r="I156" i="13"/>
  <c r="H156" i="13"/>
  <c r="G156" i="13"/>
  <c r="F156" i="13"/>
  <c r="E156" i="13"/>
  <c r="D156" i="13"/>
  <c r="C156" i="13"/>
  <c r="B156" i="13"/>
  <c r="AN155" i="13"/>
  <c r="AJ155" i="13"/>
  <c r="AI155" i="13"/>
  <c r="AH155" i="13"/>
  <c r="AG155" i="13"/>
  <c r="AF155" i="13"/>
  <c r="AE155" i="13"/>
  <c r="AD155" i="13"/>
  <c r="AC155" i="13"/>
  <c r="AB155" i="13"/>
  <c r="AA155" i="13"/>
  <c r="Z155" i="13"/>
  <c r="Y155" i="13"/>
  <c r="X155" i="13"/>
  <c r="W155" i="13"/>
  <c r="V155" i="13"/>
  <c r="U155" i="13"/>
  <c r="T155" i="13"/>
  <c r="S155" i="13"/>
  <c r="R155" i="13"/>
  <c r="Q155" i="13"/>
  <c r="P155" i="13"/>
  <c r="O155" i="13"/>
  <c r="N155" i="13"/>
  <c r="M155" i="13"/>
  <c r="L155" i="13"/>
  <c r="K155" i="13"/>
  <c r="J155" i="13"/>
  <c r="I155" i="13"/>
  <c r="H155" i="13"/>
  <c r="G155" i="13"/>
  <c r="F155" i="13"/>
  <c r="E155" i="13"/>
  <c r="D155" i="13"/>
  <c r="C155" i="13"/>
  <c r="B155" i="13"/>
  <c r="AN154" i="13"/>
  <c r="AM155" i="13" l="1"/>
  <c r="AO155" i="13" s="1"/>
  <c r="AM156" i="13"/>
  <c r="AO156" i="13" s="1"/>
  <c r="AM157" i="13"/>
  <c r="AO157" i="13" s="1"/>
  <c r="AM158" i="13"/>
  <c r="AO158" i="13" s="1"/>
  <c r="AM159" i="13"/>
  <c r="AM162" i="13"/>
  <c r="AO162" i="13" s="1"/>
  <c r="AM163" i="13"/>
  <c r="AO163" i="13" s="1"/>
  <c r="AM164" i="13"/>
  <c r="AO164" i="13" s="1"/>
  <c r="AM166" i="13"/>
  <c r="AO166" i="13" s="1"/>
  <c r="AM167" i="13"/>
  <c r="AO167" i="13" s="1"/>
  <c r="AM168" i="13"/>
  <c r="AO168" i="13" s="1"/>
  <c r="AM172" i="13"/>
  <c r="AO172" i="13" s="1"/>
  <c r="AM173" i="13"/>
  <c r="AO173" i="13" s="1"/>
  <c r="AM174" i="13"/>
  <c r="AO174" i="13" s="1"/>
  <c r="AM177" i="13"/>
  <c r="AO177" i="13" s="1"/>
  <c r="AM178" i="13"/>
  <c r="AM165" i="13"/>
  <c r="AO165" i="13" s="1"/>
  <c r="AM169" i="13"/>
  <c r="AO169" i="13" s="1"/>
  <c r="AM175" i="13"/>
  <c r="AO175" i="13" s="1"/>
  <c r="AM176" i="13"/>
  <c r="AO176" i="13" s="1"/>
  <c r="B10" i="1"/>
  <c r="B8" i="1"/>
  <c r="R2" i="1"/>
  <c r="AM170" i="13"/>
  <c r="AJ154" i="13"/>
  <c r="AI154" i="13"/>
  <c r="AH154" i="13"/>
  <c r="AG154" i="13"/>
  <c r="AF154" i="13"/>
  <c r="AE154" i="13"/>
  <c r="AD154" i="13"/>
  <c r="AC154" i="13"/>
  <c r="AB154" i="13"/>
  <c r="AA154" i="13"/>
  <c r="Z154" i="13"/>
  <c r="Y154" i="13"/>
  <c r="X154" i="13"/>
  <c r="W154" i="13"/>
  <c r="V154" i="13"/>
  <c r="U154" i="13"/>
  <c r="T154" i="13"/>
  <c r="S154" i="13"/>
  <c r="R154" i="13"/>
  <c r="Q154" i="13"/>
  <c r="P154" i="13"/>
  <c r="O154" i="13"/>
  <c r="N154" i="13"/>
  <c r="M154" i="13"/>
  <c r="L154" i="13"/>
  <c r="K154" i="13"/>
  <c r="J154" i="13"/>
  <c r="I154" i="13"/>
  <c r="H154" i="13"/>
  <c r="G154" i="13"/>
  <c r="F154" i="13"/>
  <c r="E154" i="13"/>
  <c r="D154" i="13"/>
  <c r="C154" i="13"/>
  <c r="B154" i="13"/>
  <c r="AN153" i="13"/>
  <c r="AJ153" i="13"/>
  <c r="AI153" i="13"/>
  <c r="AH153" i="13"/>
  <c r="AG153" i="13"/>
  <c r="AF153" i="13"/>
  <c r="AE153" i="13"/>
  <c r="AD153" i="13"/>
  <c r="AC153" i="13"/>
  <c r="AB153" i="13"/>
  <c r="AA153" i="13"/>
  <c r="Z153" i="13"/>
  <c r="Y153" i="13"/>
  <c r="X153" i="13"/>
  <c r="W153" i="13"/>
  <c r="V153" i="13"/>
  <c r="U153" i="13"/>
  <c r="T153" i="13"/>
  <c r="S153" i="13"/>
  <c r="R153" i="13"/>
  <c r="Q153" i="13"/>
  <c r="P153" i="13"/>
  <c r="O153" i="13"/>
  <c r="N153" i="13"/>
  <c r="M153" i="13"/>
  <c r="L153" i="13"/>
  <c r="K153" i="13"/>
  <c r="J153" i="13"/>
  <c r="I153" i="13"/>
  <c r="H153" i="13"/>
  <c r="G153" i="13"/>
  <c r="F153" i="13"/>
  <c r="E153" i="13"/>
  <c r="D153" i="13"/>
  <c r="C153" i="13"/>
  <c r="B153" i="13"/>
  <c r="AN152" i="13"/>
  <c r="AJ152" i="13"/>
  <c r="AI152" i="13"/>
  <c r="AH152" i="13"/>
  <c r="AG152" i="13"/>
  <c r="AF152" i="13"/>
  <c r="AE152" i="13"/>
  <c r="AD152" i="13"/>
  <c r="AC152" i="13"/>
  <c r="AB152" i="13"/>
  <c r="AA152" i="13"/>
  <c r="Z152" i="13"/>
  <c r="Y152" i="13"/>
  <c r="X152" i="13"/>
  <c r="W152" i="13"/>
  <c r="V152" i="13"/>
  <c r="U152" i="13"/>
  <c r="T152" i="13"/>
  <c r="S152" i="13"/>
  <c r="R152" i="13"/>
  <c r="Q152" i="13"/>
  <c r="P152" i="13"/>
  <c r="O152" i="13"/>
  <c r="N152" i="13"/>
  <c r="M152" i="13"/>
  <c r="L152" i="13"/>
  <c r="K152" i="13"/>
  <c r="J152" i="13"/>
  <c r="I152" i="13"/>
  <c r="H152" i="13"/>
  <c r="G152" i="13"/>
  <c r="F152" i="13"/>
  <c r="E152" i="13"/>
  <c r="D152" i="13"/>
  <c r="C152" i="13"/>
  <c r="B152" i="13"/>
  <c r="AN151" i="13"/>
  <c r="AJ151" i="13"/>
  <c r="AI151" i="13"/>
  <c r="AH151" i="13"/>
  <c r="AG151" i="13"/>
  <c r="AF151" i="13"/>
  <c r="AE151" i="13"/>
  <c r="AD151" i="13"/>
  <c r="AC151" i="13"/>
  <c r="AB151" i="13"/>
  <c r="AA151" i="13"/>
  <c r="Z151" i="13"/>
  <c r="Y151" i="13"/>
  <c r="X151" i="13"/>
  <c r="W151" i="13"/>
  <c r="V151" i="13"/>
  <c r="U151" i="13"/>
  <c r="T151" i="13"/>
  <c r="S151" i="13"/>
  <c r="R151" i="13"/>
  <c r="Q151" i="13"/>
  <c r="P151" i="13"/>
  <c r="O151" i="13"/>
  <c r="N151" i="13"/>
  <c r="M151" i="13"/>
  <c r="L151" i="13"/>
  <c r="K151" i="13"/>
  <c r="J151" i="13"/>
  <c r="I151" i="13"/>
  <c r="H151" i="13"/>
  <c r="G151" i="13"/>
  <c r="F151" i="13"/>
  <c r="E151" i="13"/>
  <c r="D151" i="13"/>
  <c r="C151" i="13"/>
  <c r="B151" i="13"/>
  <c r="AN150" i="13"/>
  <c r="AJ150" i="13"/>
  <c r="AI150" i="13"/>
  <c r="AH150" i="13"/>
  <c r="AG150" i="13"/>
  <c r="AF150" i="13"/>
  <c r="AE150" i="13"/>
  <c r="AD150" i="13"/>
  <c r="AC150" i="13"/>
  <c r="AB150" i="13"/>
  <c r="AA150" i="13"/>
  <c r="Z150" i="13"/>
  <c r="Y150" i="13"/>
  <c r="X150" i="13"/>
  <c r="W150" i="13"/>
  <c r="V150" i="13"/>
  <c r="U150" i="13"/>
  <c r="T150" i="13"/>
  <c r="S150" i="13"/>
  <c r="R150" i="13"/>
  <c r="Q150" i="13"/>
  <c r="P150" i="13"/>
  <c r="O150" i="13"/>
  <c r="N150" i="13"/>
  <c r="M150" i="13"/>
  <c r="L150" i="13"/>
  <c r="K150" i="13"/>
  <c r="J150" i="13"/>
  <c r="I150" i="13"/>
  <c r="H150" i="13"/>
  <c r="G150" i="13"/>
  <c r="F150" i="13"/>
  <c r="E150" i="13"/>
  <c r="D150" i="13"/>
  <c r="C150" i="13"/>
  <c r="B150" i="13"/>
  <c r="AN149" i="13"/>
  <c r="AJ149" i="13"/>
  <c r="AI149" i="13"/>
  <c r="AH149" i="13"/>
  <c r="AG149" i="13"/>
  <c r="AF149" i="13"/>
  <c r="AE149" i="13"/>
  <c r="AD149" i="13"/>
  <c r="AC149" i="13"/>
  <c r="AB149" i="13"/>
  <c r="AA149" i="13"/>
  <c r="Z149" i="13"/>
  <c r="Y149" i="13"/>
  <c r="X149" i="13"/>
  <c r="W149" i="13"/>
  <c r="V149" i="13"/>
  <c r="U149" i="13"/>
  <c r="T149" i="13"/>
  <c r="S149" i="13"/>
  <c r="R149" i="13"/>
  <c r="Q149" i="13"/>
  <c r="P149" i="13"/>
  <c r="O149" i="13"/>
  <c r="N149" i="13"/>
  <c r="M149" i="13"/>
  <c r="L149" i="13"/>
  <c r="K149" i="13"/>
  <c r="J149" i="13"/>
  <c r="I149" i="13"/>
  <c r="H149" i="13"/>
  <c r="G149" i="13"/>
  <c r="F149" i="13"/>
  <c r="E149" i="13"/>
  <c r="D149" i="13"/>
  <c r="C149" i="13"/>
  <c r="B149" i="13"/>
  <c r="AN148" i="13"/>
  <c r="AJ148" i="13"/>
  <c r="AI148" i="13"/>
  <c r="AH148" i="13"/>
  <c r="AG148" i="13"/>
  <c r="AF148" i="13"/>
  <c r="AE148" i="13"/>
  <c r="AD148" i="13"/>
  <c r="AC148" i="13"/>
  <c r="AB148" i="13"/>
  <c r="AA148" i="13"/>
  <c r="Z148" i="13"/>
  <c r="Y148" i="13"/>
  <c r="X148" i="13"/>
  <c r="W148" i="13"/>
  <c r="V148" i="13"/>
  <c r="U148" i="13"/>
  <c r="T148" i="13"/>
  <c r="S148" i="13"/>
  <c r="R148" i="13"/>
  <c r="Q148" i="13"/>
  <c r="P148" i="13"/>
  <c r="O148" i="13"/>
  <c r="N148" i="13"/>
  <c r="M148" i="13"/>
  <c r="L148" i="13"/>
  <c r="K148" i="13"/>
  <c r="J148" i="13"/>
  <c r="I148" i="13"/>
  <c r="H148" i="13"/>
  <c r="G148" i="13"/>
  <c r="F148" i="13"/>
  <c r="E148" i="13"/>
  <c r="D148" i="13"/>
  <c r="C148" i="13"/>
  <c r="B148" i="13"/>
  <c r="A147" i="13" s="1"/>
  <c r="AN146" i="13"/>
  <c r="AJ146" i="13"/>
  <c r="AI146" i="13"/>
  <c r="AH146" i="13"/>
  <c r="AG146" i="13"/>
  <c r="AF146" i="13"/>
  <c r="AE146" i="13"/>
  <c r="AD146" i="13"/>
  <c r="AC146" i="13"/>
  <c r="AB146" i="13"/>
  <c r="AA146" i="13"/>
  <c r="Z146" i="13"/>
  <c r="Y146" i="13"/>
  <c r="X146" i="13"/>
  <c r="W146" i="13"/>
  <c r="V146" i="13"/>
  <c r="U146" i="13"/>
  <c r="T146" i="13"/>
  <c r="S146" i="13"/>
  <c r="R146" i="13"/>
  <c r="Q146" i="13"/>
  <c r="P146" i="13"/>
  <c r="O146" i="13"/>
  <c r="N146" i="13"/>
  <c r="M146" i="13"/>
  <c r="L146" i="13"/>
  <c r="K146" i="13"/>
  <c r="J146" i="13"/>
  <c r="I146" i="13"/>
  <c r="H146" i="13"/>
  <c r="G146" i="13"/>
  <c r="F146" i="13"/>
  <c r="E146" i="13"/>
  <c r="D146" i="13"/>
  <c r="C146" i="13"/>
  <c r="B146" i="13"/>
  <c r="AN145" i="13"/>
  <c r="AJ145" i="13"/>
  <c r="AI145" i="13"/>
  <c r="AH145" i="13"/>
  <c r="AG145" i="13"/>
  <c r="AF145" i="13"/>
  <c r="AE145" i="13"/>
  <c r="AD145" i="13"/>
  <c r="AC145" i="13"/>
  <c r="AB145" i="13"/>
  <c r="AA145" i="13"/>
  <c r="Z145" i="13"/>
  <c r="Y145" i="13"/>
  <c r="X145" i="13"/>
  <c r="W145" i="13"/>
  <c r="V145" i="13"/>
  <c r="U145" i="13"/>
  <c r="T145" i="13"/>
  <c r="S145" i="13"/>
  <c r="R145" i="13"/>
  <c r="Q145" i="13"/>
  <c r="P145" i="13"/>
  <c r="O145" i="13"/>
  <c r="N145" i="13"/>
  <c r="M145" i="13"/>
  <c r="L145" i="13"/>
  <c r="K145" i="13"/>
  <c r="J145" i="13"/>
  <c r="I145" i="13"/>
  <c r="H145" i="13"/>
  <c r="G145" i="13"/>
  <c r="F145" i="13"/>
  <c r="E145" i="13"/>
  <c r="D145" i="13"/>
  <c r="C145" i="13"/>
  <c r="B145" i="13"/>
  <c r="AN144" i="13"/>
  <c r="AJ144" i="13"/>
  <c r="AI144" i="13"/>
  <c r="AH144" i="13"/>
  <c r="AG144" i="13"/>
  <c r="AF144" i="13"/>
  <c r="AE144" i="13"/>
  <c r="AD144" i="13"/>
  <c r="AC144" i="13"/>
  <c r="AB144" i="13"/>
  <c r="AA144" i="13"/>
  <c r="Z144" i="13"/>
  <c r="Y144" i="13"/>
  <c r="X144" i="13"/>
  <c r="W144" i="13"/>
  <c r="V144" i="13"/>
  <c r="U144" i="13"/>
  <c r="T144" i="13"/>
  <c r="S144" i="13"/>
  <c r="R144" i="13"/>
  <c r="Q144" i="13"/>
  <c r="P144" i="13"/>
  <c r="O144" i="13"/>
  <c r="N144" i="13"/>
  <c r="M144" i="13"/>
  <c r="L144" i="13"/>
  <c r="K144" i="13"/>
  <c r="J144" i="13"/>
  <c r="I144" i="13"/>
  <c r="H144" i="13"/>
  <c r="G144" i="13"/>
  <c r="F144" i="13"/>
  <c r="E144" i="13"/>
  <c r="D144" i="13"/>
  <c r="C144" i="13"/>
  <c r="B144" i="13"/>
  <c r="AN143" i="13"/>
  <c r="AJ143" i="13"/>
  <c r="AI143" i="13"/>
  <c r="AH143" i="13"/>
  <c r="AG143" i="13"/>
  <c r="AF143" i="13"/>
  <c r="AE143" i="13"/>
  <c r="AD143" i="13"/>
  <c r="AC143" i="13"/>
  <c r="AB143" i="13"/>
  <c r="AA143" i="13"/>
  <c r="Z143" i="13"/>
  <c r="Y143" i="13"/>
  <c r="X143" i="13"/>
  <c r="W143" i="13"/>
  <c r="V143" i="13"/>
  <c r="U143" i="13"/>
  <c r="T143" i="13"/>
  <c r="S143" i="13"/>
  <c r="R143" i="13"/>
  <c r="Q143" i="13"/>
  <c r="P143" i="13"/>
  <c r="O143" i="13"/>
  <c r="N143" i="13"/>
  <c r="M143" i="13"/>
  <c r="L143" i="13"/>
  <c r="K143" i="13"/>
  <c r="J143" i="13"/>
  <c r="I143" i="13"/>
  <c r="H143" i="13"/>
  <c r="G143" i="13"/>
  <c r="F143" i="13"/>
  <c r="E143" i="13"/>
  <c r="D143" i="13"/>
  <c r="C143" i="13"/>
  <c r="B143" i="13"/>
  <c r="AN142" i="13"/>
  <c r="AJ142" i="13"/>
  <c r="AI142" i="13"/>
  <c r="AH142" i="13"/>
  <c r="AG142" i="13"/>
  <c r="AF142" i="13"/>
  <c r="AE142" i="13"/>
  <c r="AD142" i="13"/>
  <c r="AC142" i="13"/>
  <c r="AB142" i="13"/>
  <c r="AA142" i="13"/>
  <c r="Z142" i="13"/>
  <c r="Y142" i="13"/>
  <c r="X142" i="13"/>
  <c r="W142" i="13"/>
  <c r="V142" i="13"/>
  <c r="U142" i="13"/>
  <c r="T142" i="13"/>
  <c r="S142" i="13"/>
  <c r="R142" i="13"/>
  <c r="Q142" i="13"/>
  <c r="P142" i="13"/>
  <c r="O142" i="13"/>
  <c r="N142" i="13"/>
  <c r="M142" i="13"/>
  <c r="L142" i="13"/>
  <c r="K142" i="13"/>
  <c r="J142" i="13"/>
  <c r="I142" i="13"/>
  <c r="H142" i="13"/>
  <c r="G142" i="13"/>
  <c r="F142" i="13"/>
  <c r="E142" i="13"/>
  <c r="D142" i="13"/>
  <c r="C142" i="13"/>
  <c r="B142" i="13"/>
  <c r="AN141" i="13"/>
  <c r="AJ141" i="13"/>
  <c r="AI141" i="13"/>
  <c r="AH141" i="13"/>
  <c r="AG141" i="13"/>
  <c r="AF141" i="13"/>
  <c r="AE141" i="13"/>
  <c r="AD141" i="13"/>
  <c r="AC141" i="13"/>
  <c r="AB141" i="13"/>
  <c r="AA141" i="13"/>
  <c r="Z141" i="13"/>
  <c r="Y141" i="13"/>
  <c r="X141" i="13"/>
  <c r="W141" i="13"/>
  <c r="V141" i="13"/>
  <c r="U141" i="13"/>
  <c r="T141" i="13"/>
  <c r="S141" i="13"/>
  <c r="R141" i="13"/>
  <c r="Q141" i="13"/>
  <c r="P141" i="13"/>
  <c r="O141" i="13"/>
  <c r="N141" i="13"/>
  <c r="M141" i="13"/>
  <c r="L141" i="13"/>
  <c r="K141" i="13"/>
  <c r="J141" i="13"/>
  <c r="I141" i="13"/>
  <c r="H141" i="13"/>
  <c r="G141" i="13"/>
  <c r="F141" i="13"/>
  <c r="E141" i="13"/>
  <c r="D141" i="13"/>
  <c r="C141" i="13"/>
  <c r="B141" i="13"/>
  <c r="AN140" i="13"/>
  <c r="AJ140" i="13"/>
  <c r="AI140" i="13"/>
  <c r="AH140" i="13"/>
  <c r="AG140" i="13"/>
  <c r="AF140" i="13"/>
  <c r="AE140" i="13"/>
  <c r="AD140" i="13"/>
  <c r="AC140" i="13"/>
  <c r="AB140" i="13"/>
  <c r="AA140" i="13"/>
  <c r="Z140" i="13"/>
  <c r="Y140" i="13"/>
  <c r="X140" i="13"/>
  <c r="W140" i="13"/>
  <c r="V140" i="13"/>
  <c r="U140" i="13"/>
  <c r="T140" i="13"/>
  <c r="S140" i="13"/>
  <c r="R140" i="13"/>
  <c r="Q140" i="13"/>
  <c r="P140" i="13"/>
  <c r="O140" i="13"/>
  <c r="N140" i="13"/>
  <c r="M140" i="13"/>
  <c r="L140" i="13"/>
  <c r="K140" i="13"/>
  <c r="J140" i="13"/>
  <c r="I140" i="13"/>
  <c r="H140" i="13"/>
  <c r="G140" i="13"/>
  <c r="F140" i="13"/>
  <c r="E140" i="13"/>
  <c r="D140" i="13"/>
  <c r="C140" i="13"/>
  <c r="B140" i="13"/>
  <c r="AN139" i="13"/>
  <c r="AJ139" i="13"/>
  <c r="AI139" i="13"/>
  <c r="AH139" i="13"/>
  <c r="AG139" i="13"/>
  <c r="AF139" i="13"/>
  <c r="AE139" i="13"/>
  <c r="AD139" i="13"/>
  <c r="AC139" i="13"/>
  <c r="AB139" i="13"/>
  <c r="AA139" i="13"/>
  <c r="Z139" i="13"/>
  <c r="Y139" i="13"/>
  <c r="X139" i="13"/>
  <c r="W139" i="13"/>
  <c r="V139" i="13"/>
  <c r="U139" i="13"/>
  <c r="T139" i="13"/>
  <c r="S139" i="13"/>
  <c r="R139" i="13"/>
  <c r="Q139" i="13"/>
  <c r="P139" i="13"/>
  <c r="O139" i="13"/>
  <c r="N139" i="13"/>
  <c r="M139" i="13"/>
  <c r="L139" i="13"/>
  <c r="K139" i="13"/>
  <c r="J139" i="13"/>
  <c r="I139" i="13"/>
  <c r="H139" i="13"/>
  <c r="G139" i="13"/>
  <c r="F139" i="13"/>
  <c r="E139" i="13"/>
  <c r="D139" i="13"/>
  <c r="C139" i="13"/>
  <c r="B139" i="13"/>
  <c r="AN138" i="13"/>
  <c r="AJ138" i="13"/>
  <c r="AI138" i="13"/>
  <c r="AH138" i="13"/>
  <c r="AG138" i="13"/>
  <c r="AF138" i="13"/>
  <c r="AE138" i="13"/>
  <c r="AD138" i="13"/>
  <c r="AC138" i="13"/>
  <c r="AB138" i="13"/>
  <c r="AA138" i="13"/>
  <c r="Z138" i="13"/>
  <c r="Y138" i="13"/>
  <c r="X138" i="13"/>
  <c r="W138" i="13"/>
  <c r="V138" i="13"/>
  <c r="U138" i="13"/>
  <c r="T138" i="13"/>
  <c r="S138" i="13"/>
  <c r="R138" i="13"/>
  <c r="Q138" i="13"/>
  <c r="P138" i="13"/>
  <c r="O138" i="13"/>
  <c r="N138" i="13"/>
  <c r="M138" i="13"/>
  <c r="L138" i="13"/>
  <c r="K138" i="13"/>
  <c r="J138" i="13"/>
  <c r="I138" i="13"/>
  <c r="H138" i="13"/>
  <c r="G138" i="13"/>
  <c r="F138" i="13"/>
  <c r="E138" i="13"/>
  <c r="D138" i="13"/>
  <c r="C138" i="13"/>
  <c r="B138" i="13"/>
  <c r="AN137" i="13"/>
  <c r="AJ137" i="13"/>
  <c r="AI137" i="13"/>
  <c r="AH137" i="13"/>
  <c r="AG137" i="13"/>
  <c r="AF137" i="13"/>
  <c r="AE137" i="13"/>
  <c r="AD137" i="13"/>
  <c r="AC137" i="13"/>
  <c r="AB137" i="13"/>
  <c r="AA137" i="13"/>
  <c r="Z137" i="13"/>
  <c r="Y137" i="13"/>
  <c r="X137" i="13"/>
  <c r="W137" i="13"/>
  <c r="V137" i="13"/>
  <c r="U137" i="13"/>
  <c r="T137" i="13"/>
  <c r="S137" i="13"/>
  <c r="R137" i="13"/>
  <c r="Q137" i="13"/>
  <c r="P137" i="13"/>
  <c r="O137" i="13"/>
  <c r="N137" i="13"/>
  <c r="M137" i="13"/>
  <c r="L137" i="13"/>
  <c r="K137" i="13"/>
  <c r="J137" i="13"/>
  <c r="I137" i="13"/>
  <c r="H137" i="13"/>
  <c r="G137" i="13"/>
  <c r="F137" i="13"/>
  <c r="E137" i="13"/>
  <c r="D137" i="13"/>
  <c r="C137" i="13"/>
  <c r="B137" i="13"/>
  <c r="AN136" i="13"/>
  <c r="AJ136" i="13"/>
  <c r="AI136" i="13"/>
  <c r="AH136" i="13"/>
  <c r="AG136" i="13"/>
  <c r="AF136" i="13"/>
  <c r="AE136" i="13"/>
  <c r="AD136" i="13"/>
  <c r="AC136" i="13"/>
  <c r="AB136" i="13"/>
  <c r="AA136" i="13"/>
  <c r="Z136" i="13"/>
  <c r="Y136" i="13"/>
  <c r="X136" i="13"/>
  <c r="W136" i="13"/>
  <c r="V136" i="13"/>
  <c r="U136" i="13"/>
  <c r="T136" i="13"/>
  <c r="S136" i="13"/>
  <c r="R136" i="13"/>
  <c r="Q136" i="13"/>
  <c r="P136" i="13"/>
  <c r="O136" i="13"/>
  <c r="N136" i="13"/>
  <c r="M136" i="13"/>
  <c r="L136" i="13"/>
  <c r="K136" i="13"/>
  <c r="J136" i="13"/>
  <c r="I136" i="13"/>
  <c r="H136" i="13"/>
  <c r="G136" i="13"/>
  <c r="F136" i="13"/>
  <c r="E136" i="13"/>
  <c r="D136" i="13"/>
  <c r="C136" i="13"/>
  <c r="B136" i="13"/>
  <c r="A135" i="13" s="1"/>
  <c r="AM136" i="13" l="1"/>
  <c r="AO136" i="13" s="1"/>
  <c r="AM137" i="13"/>
  <c r="AM139" i="13"/>
  <c r="AO139" i="13" s="1"/>
  <c r="AM140" i="13"/>
  <c r="AO140" i="13" s="1"/>
  <c r="AM141" i="13"/>
  <c r="AO141" i="13" s="1"/>
  <c r="AM142" i="13"/>
  <c r="AO142" i="13" s="1"/>
  <c r="AM143" i="13"/>
  <c r="AO143" i="13" s="1"/>
  <c r="AM144" i="13"/>
  <c r="AO144" i="13" s="1"/>
  <c r="AM145" i="13"/>
  <c r="AO145" i="13" s="1"/>
  <c r="AM146" i="13"/>
  <c r="AO146" i="13" s="1"/>
  <c r="AM148" i="13"/>
  <c r="AO148" i="13" s="1"/>
  <c r="AM149" i="13"/>
  <c r="AO149" i="13" s="1"/>
  <c r="AM150" i="13"/>
  <c r="AO150" i="13" s="1"/>
  <c r="AM151" i="13"/>
  <c r="AO151" i="13" s="1"/>
  <c r="AM152" i="13"/>
  <c r="AO152" i="13" s="1"/>
  <c r="AM153" i="13"/>
  <c r="AO153" i="13" s="1"/>
  <c r="AM154" i="13"/>
  <c r="AO154" i="13" s="1"/>
  <c r="AM160" i="13"/>
  <c r="AM138" i="13"/>
  <c r="AO138" i="13" s="1"/>
  <c r="AO159" i="13"/>
  <c r="AO170" i="13"/>
  <c r="B16" i="1"/>
  <c r="C10" i="1"/>
  <c r="R7" i="1"/>
  <c r="AN133" i="13"/>
  <c r="AJ133" i="13"/>
  <c r="AI133" i="13"/>
  <c r="AH133" i="13"/>
  <c r="AG133" i="13"/>
  <c r="AF133" i="13"/>
  <c r="AE133" i="13"/>
  <c r="AD133" i="13"/>
  <c r="AC133" i="13"/>
  <c r="AB133" i="13"/>
  <c r="AA133" i="13"/>
  <c r="Z133" i="13"/>
  <c r="Y133" i="13"/>
  <c r="X133" i="13"/>
  <c r="W133" i="13"/>
  <c r="V133" i="13"/>
  <c r="U133" i="13"/>
  <c r="T133" i="13"/>
  <c r="S133" i="13"/>
  <c r="R133" i="13"/>
  <c r="Q133" i="13"/>
  <c r="P133" i="13"/>
  <c r="O133" i="13"/>
  <c r="N133" i="13"/>
  <c r="M133" i="13"/>
  <c r="L133" i="13"/>
  <c r="K133" i="13"/>
  <c r="J133" i="13"/>
  <c r="I133" i="13"/>
  <c r="H133" i="13"/>
  <c r="G133" i="13"/>
  <c r="F133" i="13"/>
  <c r="E133" i="13"/>
  <c r="D133" i="13"/>
  <c r="C133" i="13"/>
  <c r="B133" i="13"/>
  <c r="A132" i="13" s="1"/>
  <c r="AN131" i="13"/>
  <c r="AJ131" i="13"/>
  <c r="AI131" i="13"/>
  <c r="AH131" i="13"/>
  <c r="AG131" i="13"/>
  <c r="AF131" i="13"/>
  <c r="AE131" i="13"/>
  <c r="AD131" i="13"/>
  <c r="AC131" i="13"/>
  <c r="AB131" i="13"/>
  <c r="AA131" i="13"/>
  <c r="Z131" i="13"/>
  <c r="Y131" i="13"/>
  <c r="X131" i="13"/>
  <c r="W131" i="13"/>
  <c r="V131" i="13"/>
  <c r="U131" i="13"/>
  <c r="T131" i="13"/>
  <c r="S131" i="13"/>
  <c r="R131" i="13"/>
  <c r="Q131" i="13"/>
  <c r="P131" i="13"/>
  <c r="O131" i="13"/>
  <c r="N131" i="13"/>
  <c r="M131" i="13"/>
  <c r="L131" i="13"/>
  <c r="K131" i="13"/>
  <c r="J131" i="13"/>
  <c r="I131" i="13"/>
  <c r="H131" i="13"/>
  <c r="G131" i="13"/>
  <c r="F131" i="13"/>
  <c r="E131" i="13"/>
  <c r="D131" i="13"/>
  <c r="C131" i="13"/>
  <c r="B131" i="13"/>
  <c r="AN130" i="13"/>
  <c r="AJ130" i="13"/>
  <c r="AI130" i="13"/>
  <c r="AH130" i="13"/>
  <c r="AG130" i="13"/>
  <c r="AF130" i="13"/>
  <c r="AE130" i="13"/>
  <c r="AD130" i="13"/>
  <c r="AC130" i="13"/>
  <c r="AB130" i="13"/>
  <c r="AA130" i="13"/>
  <c r="Z130" i="13"/>
  <c r="Y130" i="13"/>
  <c r="X130" i="13"/>
  <c r="W130" i="13"/>
  <c r="V130" i="13"/>
  <c r="U130" i="13"/>
  <c r="T130" i="13"/>
  <c r="S130" i="13"/>
  <c r="R130" i="13"/>
  <c r="Q130" i="13"/>
  <c r="P130" i="13"/>
  <c r="O130" i="13"/>
  <c r="N130" i="13"/>
  <c r="M130" i="13"/>
  <c r="L130" i="13"/>
  <c r="K130" i="13"/>
  <c r="J130" i="13"/>
  <c r="I130" i="13"/>
  <c r="H130" i="13"/>
  <c r="G130" i="13"/>
  <c r="F130" i="13"/>
  <c r="E130" i="13"/>
  <c r="D130" i="13"/>
  <c r="C130" i="13"/>
  <c r="B130" i="13"/>
  <c r="AN129" i="13"/>
  <c r="AJ129" i="13"/>
  <c r="AI129" i="13"/>
  <c r="AH129" i="13"/>
  <c r="AG129" i="13"/>
  <c r="AF129" i="13"/>
  <c r="AE129" i="13"/>
  <c r="AD129" i="13"/>
  <c r="AC129" i="13"/>
  <c r="AB129" i="13"/>
  <c r="AA129" i="13"/>
  <c r="Z129" i="13"/>
  <c r="Y129" i="13"/>
  <c r="X129" i="13"/>
  <c r="W129" i="13"/>
  <c r="V129" i="13"/>
  <c r="U129" i="13"/>
  <c r="T129" i="13"/>
  <c r="S129" i="13"/>
  <c r="R129" i="13"/>
  <c r="Q129" i="13"/>
  <c r="P129" i="13"/>
  <c r="O129" i="13"/>
  <c r="N129" i="13"/>
  <c r="M129" i="13"/>
  <c r="L129" i="13"/>
  <c r="K129" i="13"/>
  <c r="J129" i="13"/>
  <c r="I129" i="13"/>
  <c r="H129" i="13"/>
  <c r="G129" i="13"/>
  <c r="F129" i="13"/>
  <c r="E129" i="13"/>
  <c r="D129" i="13"/>
  <c r="C129" i="13"/>
  <c r="B129" i="13"/>
  <c r="AN128" i="13"/>
  <c r="AJ128" i="13"/>
  <c r="AI128" i="13"/>
  <c r="AH128" i="13"/>
  <c r="AG128" i="13"/>
  <c r="AF128" i="13"/>
  <c r="AE128" i="13"/>
  <c r="AD128" i="13"/>
  <c r="AC128" i="13"/>
  <c r="AB128" i="13"/>
  <c r="AA128" i="13"/>
  <c r="Z128" i="13"/>
  <c r="Y128" i="13"/>
  <c r="X128" i="13"/>
  <c r="W128" i="13"/>
  <c r="V128" i="13"/>
  <c r="U128" i="13"/>
  <c r="T128" i="13"/>
  <c r="S128" i="13"/>
  <c r="R128" i="13"/>
  <c r="Q128" i="13"/>
  <c r="P128" i="13"/>
  <c r="O128" i="13"/>
  <c r="N128" i="13"/>
  <c r="M128" i="13"/>
  <c r="L128" i="13"/>
  <c r="K128" i="13"/>
  <c r="J128" i="13"/>
  <c r="I128" i="13"/>
  <c r="H128" i="13"/>
  <c r="G128" i="13"/>
  <c r="F128" i="13"/>
  <c r="E128" i="13"/>
  <c r="D128" i="13"/>
  <c r="C128" i="13"/>
  <c r="B128" i="13"/>
  <c r="A127" i="13" s="1"/>
  <c r="AN126" i="13"/>
  <c r="AJ126" i="13"/>
  <c r="AI126" i="13"/>
  <c r="AH126" i="13"/>
  <c r="AG126" i="13"/>
  <c r="AF126" i="13"/>
  <c r="AE126" i="13"/>
  <c r="AD126" i="13"/>
  <c r="AC126" i="13"/>
  <c r="AB126" i="13"/>
  <c r="AA126" i="13"/>
  <c r="Z126" i="13"/>
  <c r="Y126" i="13"/>
  <c r="X126" i="13"/>
  <c r="W126" i="13"/>
  <c r="V126" i="13"/>
  <c r="U126" i="13"/>
  <c r="T126" i="13"/>
  <c r="S126" i="13"/>
  <c r="R126" i="13"/>
  <c r="Q126" i="13"/>
  <c r="P126" i="13"/>
  <c r="O126" i="13"/>
  <c r="N126" i="13"/>
  <c r="M126" i="13"/>
  <c r="L126" i="13"/>
  <c r="K126" i="13"/>
  <c r="J126" i="13"/>
  <c r="I126" i="13"/>
  <c r="H126" i="13"/>
  <c r="G126" i="13"/>
  <c r="F126" i="13"/>
  <c r="E126" i="13"/>
  <c r="D126" i="13"/>
  <c r="C126" i="13"/>
  <c r="B126" i="13"/>
  <c r="AN125" i="13"/>
  <c r="AJ125" i="13"/>
  <c r="AI125" i="13"/>
  <c r="AH125" i="13"/>
  <c r="AG125" i="13"/>
  <c r="AF125" i="13"/>
  <c r="AE125" i="13"/>
  <c r="AD125" i="13"/>
  <c r="AC125" i="13"/>
  <c r="AB125" i="13"/>
  <c r="AA125" i="13"/>
  <c r="Z125" i="13"/>
  <c r="Y125" i="13"/>
  <c r="X125" i="13"/>
  <c r="W125" i="13"/>
  <c r="V125" i="13"/>
  <c r="U125" i="13"/>
  <c r="T125" i="13"/>
  <c r="S125" i="13"/>
  <c r="R125" i="13"/>
  <c r="Q125" i="13"/>
  <c r="P125" i="13"/>
  <c r="O125" i="13"/>
  <c r="N125" i="13"/>
  <c r="M125" i="13"/>
  <c r="L125" i="13"/>
  <c r="K125" i="13"/>
  <c r="J125" i="13"/>
  <c r="I125" i="13"/>
  <c r="H125" i="13"/>
  <c r="G125" i="13"/>
  <c r="F125" i="13"/>
  <c r="E125" i="13"/>
  <c r="D125" i="13"/>
  <c r="C125" i="13"/>
  <c r="B125" i="13"/>
  <c r="AN124" i="13"/>
  <c r="AJ124" i="13"/>
  <c r="AI124" i="13"/>
  <c r="AH124" i="13"/>
  <c r="AG124" i="13"/>
  <c r="AF124" i="13"/>
  <c r="AE124" i="13"/>
  <c r="AD124" i="13"/>
  <c r="AC124" i="13"/>
  <c r="AB124" i="13"/>
  <c r="AA124" i="13"/>
  <c r="Z124" i="13"/>
  <c r="Y124" i="13"/>
  <c r="X124" i="13"/>
  <c r="W124" i="13"/>
  <c r="V124" i="13"/>
  <c r="U124" i="13"/>
  <c r="T124" i="13"/>
  <c r="S124" i="13"/>
  <c r="R124" i="13"/>
  <c r="Q124" i="13"/>
  <c r="P124" i="13"/>
  <c r="O124" i="13"/>
  <c r="N124" i="13"/>
  <c r="M124" i="13"/>
  <c r="L124" i="13"/>
  <c r="K124" i="13"/>
  <c r="J124" i="13"/>
  <c r="I124" i="13"/>
  <c r="H124" i="13"/>
  <c r="G124" i="13"/>
  <c r="F124" i="13"/>
  <c r="E124" i="13"/>
  <c r="D124" i="13"/>
  <c r="C124" i="13"/>
  <c r="B124" i="13"/>
  <c r="A123" i="13" s="1"/>
  <c r="AN122" i="13"/>
  <c r="AJ122" i="13"/>
  <c r="AI122" i="13"/>
  <c r="AH122" i="13"/>
  <c r="AG122" i="13"/>
  <c r="AF122" i="13"/>
  <c r="AE122" i="13"/>
  <c r="AD122" i="13"/>
  <c r="AC122" i="13"/>
  <c r="AB122" i="13"/>
  <c r="AA122" i="13"/>
  <c r="Z122" i="13"/>
  <c r="Y122" i="13"/>
  <c r="X122" i="13"/>
  <c r="W122" i="13"/>
  <c r="V122" i="13"/>
  <c r="U122" i="13"/>
  <c r="T122" i="13"/>
  <c r="S122" i="13"/>
  <c r="R122" i="13"/>
  <c r="Q122" i="13"/>
  <c r="P122" i="13"/>
  <c r="O122" i="13"/>
  <c r="N122" i="13"/>
  <c r="M122" i="13"/>
  <c r="L122" i="13"/>
  <c r="K122" i="13"/>
  <c r="J122" i="13"/>
  <c r="I122" i="13"/>
  <c r="H122" i="13"/>
  <c r="G122" i="13"/>
  <c r="F122" i="13"/>
  <c r="E122" i="13"/>
  <c r="D122" i="13"/>
  <c r="C122" i="13"/>
  <c r="B122" i="13"/>
  <c r="A121" i="13" s="1"/>
  <c r="AN120" i="13"/>
  <c r="AJ120" i="13"/>
  <c r="AI120" i="13"/>
  <c r="AH120" i="13"/>
  <c r="AG120" i="13"/>
  <c r="AF120" i="13"/>
  <c r="AE120" i="13"/>
  <c r="AD120" i="13"/>
  <c r="AC120" i="13"/>
  <c r="AB120" i="13"/>
  <c r="AA120" i="13"/>
  <c r="Z120" i="13"/>
  <c r="Y120" i="13"/>
  <c r="X120" i="13"/>
  <c r="W120" i="13"/>
  <c r="V120" i="13"/>
  <c r="U120" i="13"/>
  <c r="T120" i="13"/>
  <c r="S120" i="13"/>
  <c r="R120" i="13"/>
  <c r="Q120" i="13"/>
  <c r="P120" i="13"/>
  <c r="O120" i="13"/>
  <c r="N120" i="13"/>
  <c r="M120" i="13"/>
  <c r="L120" i="13"/>
  <c r="K120" i="13"/>
  <c r="J120" i="13"/>
  <c r="I120" i="13"/>
  <c r="H120" i="13"/>
  <c r="G120" i="13"/>
  <c r="F120" i="13"/>
  <c r="E120" i="13"/>
  <c r="D120" i="13"/>
  <c r="C120" i="13"/>
  <c r="B120" i="13"/>
  <c r="AN119" i="13"/>
  <c r="AJ119" i="13"/>
  <c r="AI119" i="13"/>
  <c r="AH119" i="13"/>
  <c r="AG119" i="13"/>
  <c r="AF119" i="13"/>
  <c r="AE119" i="13"/>
  <c r="AD119" i="13"/>
  <c r="AC119" i="13"/>
  <c r="AB119" i="13"/>
  <c r="AA119" i="13"/>
  <c r="Z119" i="13"/>
  <c r="Y119" i="13"/>
  <c r="X119" i="13"/>
  <c r="W119" i="13"/>
  <c r="V119" i="13"/>
  <c r="U119" i="13"/>
  <c r="T119" i="13"/>
  <c r="S119" i="13"/>
  <c r="R119" i="13"/>
  <c r="Q119" i="13"/>
  <c r="P119" i="13"/>
  <c r="O119" i="13"/>
  <c r="N119" i="13"/>
  <c r="M119" i="13"/>
  <c r="L119" i="13"/>
  <c r="K119" i="13"/>
  <c r="J119" i="13"/>
  <c r="I119" i="13"/>
  <c r="H119" i="13"/>
  <c r="G119" i="13"/>
  <c r="F119" i="13"/>
  <c r="E119" i="13"/>
  <c r="D119" i="13"/>
  <c r="C119" i="13"/>
  <c r="B119" i="13"/>
  <c r="AM134" i="13" l="1"/>
  <c r="AN134" i="13" s="1"/>
  <c r="AM119" i="13"/>
  <c r="AO119" i="13" s="1"/>
  <c r="AM120" i="13"/>
  <c r="AO120" i="13" s="1"/>
  <c r="AM122" i="13"/>
  <c r="AO122" i="13" s="1"/>
  <c r="AM124" i="13"/>
  <c r="AO124" i="13" s="1"/>
  <c r="AM125" i="13"/>
  <c r="AO125" i="13" s="1"/>
  <c r="AM126" i="13"/>
  <c r="AO126" i="13" s="1"/>
  <c r="AM128" i="13"/>
  <c r="AO128" i="13" s="1"/>
  <c r="AM129" i="13"/>
  <c r="AO129" i="13" s="1"/>
  <c r="AM130" i="13"/>
  <c r="AO130" i="13" s="1"/>
  <c r="AN160" i="13"/>
  <c r="AO137" i="13"/>
  <c r="AM131" i="13"/>
  <c r="AO131" i="13" s="1"/>
  <c r="AM133" i="13"/>
  <c r="AO133" i="13" s="1"/>
  <c r="C16" i="1"/>
  <c r="D10" i="1"/>
  <c r="A118" i="13"/>
  <c r="AN117" i="13"/>
  <c r="AJ117" i="13"/>
  <c r="AI117" i="13"/>
  <c r="AH117" i="13"/>
  <c r="AG117" i="13"/>
  <c r="AF117" i="13"/>
  <c r="AE117" i="13"/>
  <c r="AD117" i="13"/>
  <c r="AC117" i="13"/>
  <c r="AB117" i="13"/>
  <c r="AA117" i="13"/>
  <c r="Z117" i="13"/>
  <c r="Y117" i="13"/>
  <c r="X117" i="13"/>
  <c r="W117" i="13"/>
  <c r="V117" i="13"/>
  <c r="U117" i="13"/>
  <c r="T117" i="13"/>
  <c r="S117" i="13"/>
  <c r="R117" i="13"/>
  <c r="Q117" i="13"/>
  <c r="P117" i="13"/>
  <c r="O117" i="13"/>
  <c r="N117" i="13"/>
  <c r="M117" i="13"/>
  <c r="L117" i="13"/>
  <c r="K117" i="13"/>
  <c r="J117" i="13"/>
  <c r="I117" i="13"/>
  <c r="H117" i="13"/>
  <c r="G117" i="13"/>
  <c r="F117" i="13"/>
  <c r="E117" i="13"/>
  <c r="D117" i="13"/>
  <c r="C117" i="13"/>
  <c r="B117" i="13"/>
  <c r="AN116" i="13"/>
  <c r="AJ116" i="13"/>
  <c r="AI116" i="13"/>
  <c r="AH116" i="13"/>
  <c r="AG116" i="13"/>
  <c r="AF116" i="13"/>
  <c r="AE116" i="13"/>
  <c r="AD116" i="13"/>
  <c r="AC116" i="13"/>
  <c r="AB116" i="13"/>
  <c r="AA116" i="13"/>
  <c r="Z116" i="13"/>
  <c r="Y116" i="13"/>
  <c r="X116" i="13"/>
  <c r="W116" i="13"/>
  <c r="V116" i="13"/>
  <c r="U116" i="13"/>
  <c r="T116" i="13"/>
  <c r="S116" i="13"/>
  <c r="R116" i="13"/>
  <c r="Q116" i="13"/>
  <c r="P116" i="13"/>
  <c r="O116" i="13"/>
  <c r="N116" i="13"/>
  <c r="M116" i="13"/>
  <c r="L116" i="13"/>
  <c r="K116" i="13"/>
  <c r="J116" i="13"/>
  <c r="I116" i="13"/>
  <c r="H116" i="13"/>
  <c r="G116" i="13"/>
  <c r="F116" i="13"/>
  <c r="E116" i="13"/>
  <c r="D116" i="13"/>
  <c r="C116" i="13"/>
  <c r="B116" i="13"/>
  <c r="AN115" i="13"/>
  <c r="AM117" i="13" l="1"/>
  <c r="AO117" i="13" s="1"/>
  <c r="AM116" i="13"/>
  <c r="AO116" i="13" s="1"/>
  <c r="E10" i="1"/>
  <c r="AJ115" i="13"/>
  <c r="AI115" i="13"/>
  <c r="AH115" i="13"/>
  <c r="AG115" i="13"/>
  <c r="AF115" i="13"/>
  <c r="AE115" i="13"/>
  <c r="AD115" i="13"/>
  <c r="AC115" i="13"/>
  <c r="AB115" i="13"/>
  <c r="AA115" i="13"/>
  <c r="Z115" i="13"/>
  <c r="Y115" i="13"/>
  <c r="X115" i="13"/>
  <c r="W115" i="13"/>
  <c r="V115" i="13"/>
  <c r="U115" i="13"/>
  <c r="T115" i="13"/>
  <c r="S115" i="13"/>
  <c r="R115" i="13"/>
  <c r="Q115" i="13"/>
  <c r="P115" i="13"/>
  <c r="O115" i="13"/>
  <c r="N115" i="13"/>
  <c r="M115" i="13"/>
  <c r="L115" i="13"/>
  <c r="K115" i="13"/>
  <c r="J115" i="13"/>
  <c r="I115" i="13"/>
  <c r="H115" i="13"/>
  <c r="G115" i="13"/>
  <c r="F115" i="13"/>
  <c r="E115" i="13"/>
  <c r="D115" i="13"/>
  <c r="C115" i="13"/>
  <c r="B115" i="13"/>
  <c r="AN114" i="13"/>
  <c r="AJ114" i="13"/>
  <c r="AI114" i="13"/>
  <c r="AH114" i="13"/>
  <c r="AG114" i="13"/>
  <c r="AF114" i="13"/>
  <c r="AE114" i="13"/>
  <c r="AD114" i="13"/>
  <c r="AC114" i="13"/>
  <c r="AB114" i="13"/>
  <c r="AA114" i="13"/>
  <c r="Z114" i="13"/>
  <c r="Y114" i="13"/>
  <c r="X114" i="13"/>
  <c r="W114" i="13"/>
  <c r="V114" i="13"/>
  <c r="U114" i="13"/>
  <c r="T114" i="13"/>
  <c r="S114" i="13"/>
  <c r="R114" i="13"/>
  <c r="Q114" i="13"/>
  <c r="P114" i="13"/>
  <c r="O114" i="13"/>
  <c r="N114" i="13"/>
  <c r="M114" i="13"/>
  <c r="L114" i="13"/>
  <c r="K114" i="13"/>
  <c r="J114" i="13"/>
  <c r="I114" i="13"/>
  <c r="H114" i="13"/>
  <c r="G114" i="13"/>
  <c r="F114" i="13"/>
  <c r="E114" i="13"/>
  <c r="D114" i="13"/>
  <c r="C114" i="13"/>
  <c r="B114" i="13"/>
  <c r="AN113" i="13"/>
  <c r="AJ113" i="13"/>
  <c r="AI113" i="13"/>
  <c r="AH113" i="13"/>
  <c r="AG113" i="13"/>
  <c r="AF113" i="13"/>
  <c r="AE113" i="13"/>
  <c r="AD113" i="13"/>
  <c r="AC113" i="13"/>
  <c r="AB113" i="13"/>
  <c r="AA113" i="13"/>
  <c r="Z113" i="13"/>
  <c r="Y113" i="13"/>
  <c r="X113" i="13"/>
  <c r="W113" i="13"/>
  <c r="V113" i="13"/>
  <c r="U113" i="13"/>
  <c r="T113" i="13"/>
  <c r="S113" i="13"/>
  <c r="R113" i="13"/>
  <c r="Q113" i="13"/>
  <c r="P113" i="13"/>
  <c r="O113" i="13"/>
  <c r="N113" i="13"/>
  <c r="M113" i="13"/>
  <c r="L113" i="13"/>
  <c r="K113" i="13"/>
  <c r="J113" i="13"/>
  <c r="I113" i="13"/>
  <c r="H113" i="13"/>
  <c r="G113" i="13"/>
  <c r="F113" i="13"/>
  <c r="E113" i="13"/>
  <c r="D113" i="13"/>
  <c r="C113" i="13"/>
  <c r="B113" i="13"/>
  <c r="AN112" i="13"/>
  <c r="AJ112" i="13"/>
  <c r="AI112" i="13"/>
  <c r="AH112" i="13"/>
  <c r="AG112" i="13"/>
  <c r="AF112" i="13"/>
  <c r="AE112" i="13"/>
  <c r="AD112" i="13"/>
  <c r="AC112" i="13"/>
  <c r="AB112" i="13"/>
  <c r="AA112" i="13"/>
  <c r="Z112" i="13"/>
  <c r="Y112" i="13"/>
  <c r="X112" i="13"/>
  <c r="W112" i="13"/>
  <c r="V112" i="13"/>
  <c r="U112" i="13"/>
  <c r="T112" i="13"/>
  <c r="S112" i="13"/>
  <c r="R112" i="13"/>
  <c r="Q112" i="13"/>
  <c r="P112" i="13"/>
  <c r="O112" i="13"/>
  <c r="N112" i="13"/>
  <c r="M112" i="13"/>
  <c r="L112" i="13"/>
  <c r="K112" i="13"/>
  <c r="J112" i="13"/>
  <c r="I112" i="13"/>
  <c r="H112" i="13"/>
  <c r="G112" i="13"/>
  <c r="F112" i="13"/>
  <c r="E112" i="13"/>
  <c r="D112" i="13"/>
  <c r="C112" i="13"/>
  <c r="B112" i="13"/>
  <c r="AM112" i="13" l="1"/>
  <c r="AO112" i="13" s="1"/>
  <c r="AM113" i="13"/>
  <c r="AO113" i="13" s="1"/>
  <c r="AM114" i="13"/>
  <c r="AO114" i="13" s="1"/>
  <c r="AM115" i="13"/>
  <c r="AO115" i="13" s="1"/>
  <c r="F10" i="1"/>
  <c r="A111" i="13"/>
  <c r="AM110" i="13" l="1"/>
  <c r="AN110" i="13" s="1"/>
  <c r="G10" i="1"/>
  <c r="AN109" i="13"/>
  <c r="AJ109" i="13"/>
  <c r="AI109" i="13"/>
  <c r="AH109" i="13"/>
  <c r="AG109" i="13"/>
  <c r="AF109" i="13"/>
  <c r="AE109" i="13"/>
  <c r="AD109" i="13"/>
  <c r="AC109" i="13"/>
  <c r="AB109" i="13"/>
  <c r="AA109" i="13"/>
  <c r="Z109" i="13"/>
  <c r="Y109" i="13"/>
  <c r="X109" i="13"/>
  <c r="W109" i="13"/>
  <c r="V109" i="13"/>
  <c r="U109" i="13"/>
  <c r="T109" i="13"/>
  <c r="S109" i="13"/>
  <c r="R109" i="13"/>
  <c r="Q109" i="13"/>
  <c r="P109" i="13"/>
  <c r="O109" i="13"/>
  <c r="N109" i="13"/>
  <c r="M109" i="13"/>
  <c r="L109" i="13"/>
  <c r="K109" i="13"/>
  <c r="J109" i="13"/>
  <c r="I109" i="13"/>
  <c r="H109" i="13"/>
  <c r="G109" i="13"/>
  <c r="F109" i="13"/>
  <c r="E109" i="13"/>
  <c r="D109" i="13"/>
  <c r="C109" i="13"/>
  <c r="B109" i="13"/>
  <c r="AN108" i="13"/>
  <c r="AJ108" i="13"/>
  <c r="AI108" i="13"/>
  <c r="AH108" i="13"/>
  <c r="AG108" i="13"/>
  <c r="AF108" i="13"/>
  <c r="AE108" i="13"/>
  <c r="AD108" i="13"/>
  <c r="AC108" i="13"/>
  <c r="AB108" i="13"/>
  <c r="AA108" i="13"/>
  <c r="Z108" i="13"/>
  <c r="Y108" i="13"/>
  <c r="X108" i="13"/>
  <c r="W108" i="13"/>
  <c r="V108" i="13"/>
  <c r="U108" i="13"/>
  <c r="T108" i="13"/>
  <c r="S108" i="13"/>
  <c r="R108" i="13"/>
  <c r="Q108" i="13"/>
  <c r="P108" i="13"/>
  <c r="O108" i="13"/>
  <c r="N108" i="13"/>
  <c r="M108" i="13"/>
  <c r="L108" i="13"/>
  <c r="K108" i="13"/>
  <c r="J108" i="13"/>
  <c r="I108" i="13"/>
  <c r="H108" i="13"/>
  <c r="G108" i="13"/>
  <c r="F108" i="13"/>
  <c r="E108" i="13"/>
  <c r="D108" i="13"/>
  <c r="C108" i="13"/>
  <c r="B108" i="13"/>
  <c r="AM108" i="13" l="1"/>
  <c r="AO108" i="13" s="1"/>
  <c r="AM109" i="13"/>
  <c r="AO109" i="13" s="1"/>
  <c r="H10" i="1"/>
  <c r="A107" i="13"/>
  <c r="AN106" i="13"/>
  <c r="AJ106" i="13"/>
  <c r="AI106" i="13"/>
  <c r="AH106" i="13"/>
  <c r="AG106" i="13"/>
  <c r="AF106" i="13"/>
  <c r="AE106" i="13"/>
  <c r="AD106" i="13"/>
  <c r="AC106" i="13"/>
  <c r="AB106" i="13"/>
  <c r="AA106" i="13"/>
  <c r="Z106" i="13"/>
  <c r="Y106" i="13"/>
  <c r="X106" i="13"/>
  <c r="W106" i="13"/>
  <c r="V106" i="13"/>
  <c r="U106" i="13"/>
  <c r="T106" i="13"/>
  <c r="S106" i="13"/>
  <c r="R106" i="13"/>
  <c r="Q106" i="13"/>
  <c r="P106" i="13"/>
  <c r="O106" i="13"/>
  <c r="N106" i="13"/>
  <c r="M106" i="13"/>
  <c r="L106" i="13"/>
  <c r="K106" i="13"/>
  <c r="J106" i="13"/>
  <c r="I106" i="13"/>
  <c r="H106" i="13"/>
  <c r="G106" i="13"/>
  <c r="F106" i="13"/>
  <c r="E106" i="13"/>
  <c r="D106" i="13"/>
  <c r="C106" i="13"/>
  <c r="B106" i="13"/>
  <c r="AN105" i="13"/>
  <c r="AJ105" i="13"/>
  <c r="AI105" i="13"/>
  <c r="AH105" i="13"/>
  <c r="AG105" i="13"/>
  <c r="AF105" i="13"/>
  <c r="AE105" i="13"/>
  <c r="AD105" i="13"/>
  <c r="AC105" i="13"/>
  <c r="AB105" i="13"/>
  <c r="AA105" i="13"/>
  <c r="Z105" i="13"/>
  <c r="Y105" i="13"/>
  <c r="X105" i="13"/>
  <c r="W105" i="13"/>
  <c r="V105" i="13"/>
  <c r="U105" i="13"/>
  <c r="T105" i="13"/>
  <c r="S105" i="13"/>
  <c r="R105" i="13"/>
  <c r="Q105" i="13"/>
  <c r="P105" i="13"/>
  <c r="O105" i="13"/>
  <c r="N105" i="13"/>
  <c r="M105" i="13"/>
  <c r="L105" i="13"/>
  <c r="K105" i="13"/>
  <c r="J105" i="13"/>
  <c r="I105" i="13"/>
  <c r="H105" i="13"/>
  <c r="G105" i="13"/>
  <c r="F105" i="13"/>
  <c r="E105" i="13"/>
  <c r="D105" i="13"/>
  <c r="C105" i="13"/>
  <c r="B105" i="13"/>
  <c r="AN103" i="13"/>
  <c r="AM105" i="13" l="1"/>
  <c r="AO105" i="13" s="1"/>
  <c r="AM106" i="13"/>
  <c r="AO106" i="13" s="1"/>
  <c r="I10" i="1"/>
  <c r="AJ103" i="13"/>
  <c r="AI103" i="13"/>
  <c r="AH103" i="13"/>
  <c r="AG103" i="13"/>
  <c r="AF103" i="13"/>
  <c r="AE103" i="13"/>
  <c r="AD103" i="13"/>
  <c r="AC103" i="13"/>
  <c r="AB103" i="13"/>
  <c r="AA103" i="13"/>
  <c r="Z103" i="13"/>
  <c r="Y103" i="13"/>
  <c r="X103" i="13"/>
  <c r="W103" i="13"/>
  <c r="V103" i="13"/>
  <c r="U103" i="13"/>
  <c r="T103" i="13"/>
  <c r="S103" i="13"/>
  <c r="R103" i="13"/>
  <c r="Q103" i="13"/>
  <c r="P103" i="13"/>
  <c r="O103" i="13"/>
  <c r="N103" i="13"/>
  <c r="M103" i="13"/>
  <c r="L103" i="13"/>
  <c r="K103" i="13"/>
  <c r="J103" i="13"/>
  <c r="I103" i="13"/>
  <c r="H103" i="13"/>
  <c r="G103" i="13"/>
  <c r="F103" i="13"/>
  <c r="E103" i="13"/>
  <c r="D103" i="13"/>
  <c r="C103" i="13"/>
  <c r="B103" i="13"/>
  <c r="A102" i="13" s="1"/>
  <c r="A104" i="13" s="1"/>
  <c r="AN101" i="13"/>
  <c r="AJ101" i="13"/>
  <c r="AI101" i="13"/>
  <c r="AH101" i="13"/>
  <c r="AG101" i="13"/>
  <c r="AF101" i="13"/>
  <c r="AE101" i="13"/>
  <c r="AD101" i="13"/>
  <c r="AC101" i="13"/>
  <c r="AB101" i="13"/>
  <c r="AA101" i="13"/>
  <c r="Z101" i="13"/>
  <c r="Y101" i="13"/>
  <c r="X101" i="13"/>
  <c r="W101" i="13"/>
  <c r="V101" i="13"/>
  <c r="U101" i="13"/>
  <c r="T101" i="13"/>
  <c r="S101" i="13"/>
  <c r="R101" i="13"/>
  <c r="Q101" i="13"/>
  <c r="P101" i="13"/>
  <c r="O101" i="13"/>
  <c r="N101" i="13"/>
  <c r="M101" i="13"/>
  <c r="L101" i="13"/>
  <c r="K101" i="13"/>
  <c r="J101" i="13"/>
  <c r="I101" i="13"/>
  <c r="H101" i="13"/>
  <c r="G101" i="13"/>
  <c r="F101" i="13"/>
  <c r="E101" i="13"/>
  <c r="D101" i="13"/>
  <c r="C101" i="13"/>
  <c r="B101" i="13"/>
  <c r="A100" i="13" s="1"/>
  <c r="AN99" i="13"/>
  <c r="AJ99" i="13"/>
  <c r="AI99" i="13"/>
  <c r="AH99" i="13"/>
  <c r="AG99" i="13"/>
  <c r="AF99" i="13"/>
  <c r="AE99" i="13"/>
  <c r="AD99" i="13"/>
  <c r="AC99" i="13"/>
  <c r="AB99" i="13"/>
  <c r="AA99" i="13"/>
  <c r="Z99" i="13"/>
  <c r="Y99" i="13"/>
  <c r="X99" i="13"/>
  <c r="W99" i="13"/>
  <c r="V99" i="13"/>
  <c r="U99" i="13"/>
  <c r="T99" i="13"/>
  <c r="S99" i="13"/>
  <c r="R99" i="13"/>
  <c r="Q99" i="13"/>
  <c r="P99" i="13"/>
  <c r="O99" i="13"/>
  <c r="N99" i="13"/>
  <c r="M99" i="13"/>
  <c r="L99" i="13"/>
  <c r="K99" i="13"/>
  <c r="J99" i="13"/>
  <c r="I99" i="13"/>
  <c r="H99" i="13"/>
  <c r="G99" i="13"/>
  <c r="F99" i="13"/>
  <c r="E99" i="13"/>
  <c r="D99" i="13"/>
  <c r="C99" i="13"/>
  <c r="B99" i="13"/>
  <c r="AN98" i="13"/>
  <c r="AJ98" i="13"/>
  <c r="AI98" i="13"/>
  <c r="AH98" i="13"/>
  <c r="AG98" i="13"/>
  <c r="AF98" i="13"/>
  <c r="AE98" i="13"/>
  <c r="AD98" i="13"/>
  <c r="AC98" i="13"/>
  <c r="AB98" i="13"/>
  <c r="AA98" i="13"/>
  <c r="Z98" i="13"/>
  <c r="Y98" i="13"/>
  <c r="X98" i="13"/>
  <c r="W98" i="13"/>
  <c r="V98" i="13"/>
  <c r="U98" i="13"/>
  <c r="T98" i="13"/>
  <c r="S98" i="13"/>
  <c r="R98" i="13"/>
  <c r="Q98" i="13"/>
  <c r="P98" i="13"/>
  <c r="O98" i="13"/>
  <c r="N98" i="13"/>
  <c r="M98" i="13"/>
  <c r="L98" i="13"/>
  <c r="K98" i="13"/>
  <c r="J98" i="13"/>
  <c r="I98" i="13"/>
  <c r="H98" i="13"/>
  <c r="G98" i="13"/>
  <c r="F98" i="13"/>
  <c r="E98" i="13"/>
  <c r="D98" i="13"/>
  <c r="C98" i="13"/>
  <c r="B98" i="13"/>
  <c r="AN97" i="13"/>
  <c r="AJ97" i="13"/>
  <c r="AI97" i="13"/>
  <c r="AH97" i="13"/>
  <c r="AG97" i="13"/>
  <c r="AF97" i="13"/>
  <c r="AE97" i="13"/>
  <c r="AD97" i="13"/>
  <c r="AC97" i="13"/>
  <c r="AB97" i="13"/>
  <c r="AA97" i="13"/>
  <c r="Z97" i="13"/>
  <c r="Y97" i="13"/>
  <c r="X97" i="13"/>
  <c r="W97" i="13"/>
  <c r="V97" i="13"/>
  <c r="U97" i="13"/>
  <c r="T97" i="13"/>
  <c r="S97" i="13"/>
  <c r="R97" i="13"/>
  <c r="Q97" i="13"/>
  <c r="P97" i="13"/>
  <c r="O97" i="13"/>
  <c r="N97" i="13"/>
  <c r="M97" i="13"/>
  <c r="L97" i="13"/>
  <c r="K97" i="13"/>
  <c r="J97" i="13"/>
  <c r="I97" i="13"/>
  <c r="H97" i="13"/>
  <c r="G97" i="13"/>
  <c r="F97" i="13"/>
  <c r="E97" i="13"/>
  <c r="D97" i="13"/>
  <c r="C97" i="13"/>
  <c r="B97" i="13"/>
  <c r="AN96" i="13"/>
  <c r="AJ96" i="13"/>
  <c r="AI96" i="13"/>
  <c r="AH96" i="13"/>
  <c r="AG96" i="13"/>
  <c r="AF96" i="13"/>
  <c r="AE96" i="13"/>
  <c r="AD96" i="13"/>
  <c r="AC96" i="13"/>
  <c r="AB96" i="13"/>
  <c r="AA96" i="13"/>
  <c r="Z96" i="13"/>
  <c r="Y96" i="13"/>
  <c r="X96" i="13"/>
  <c r="W96" i="13"/>
  <c r="V96" i="13"/>
  <c r="U96" i="13"/>
  <c r="T96" i="13"/>
  <c r="S96" i="13"/>
  <c r="R96" i="13"/>
  <c r="Q96" i="13"/>
  <c r="P96" i="13"/>
  <c r="O96" i="13"/>
  <c r="N96" i="13"/>
  <c r="M96" i="13"/>
  <c r="L96" i="13"/>
  <c r="K96" i="13"/>
  <c r="J96" i="13"/>
  <c r="I96" i="13"/>
  <c r="H96" i="13"/>
  <c r="G96" i="13"/>
  <c r="F96" i="13"/>
  <c r="E96" i="13"/>
  <c r="D96" i="13"/>
  <c r="C96" i="13"/>
  <c r="B96" i="13"/>
  <c r="AN95" i="13"/>
  <c r="AJ95" i="13"/>
  <c r="AI95" i="13"/>
  <c r="AH95" i="13"/>
  <c r="AG95" i="13"/>
  <c r="AF95" i="13"/>
  <c r="AE95" i="13"/>
  <c r="AD95" i="13"/>
  <c r="AC95" i="13"/>
  <c r="AB95" i="13"/>
  <c r="AA95" i="13"/>
  <c r="Z95" i="13"/>
  <c r="Y95" i="13"/>
  <c r="X95" i="13"/>
  <c r="W95" i="13"/>
  <c r="V95" i="13"/>
  <c r="U95" i="13"/>
  <c r="T95" i="13"/>
  <c r="S95" i="13"/>
  <c r="R95" i="13"/>
  <c r="Q95" i="13"/>
  <c r="P95" i="13"/>
  <c r="O95" i="13"/>
  <c r="N95" i="13"/>
  <c r="M95" i="13"/>
  <c r="L95" i="13"/>
  <c r="K95" i="13"/>
  <c r="J95" i="13"/>
  <c r="I95" i="13"/>
  <c r="H95" i="13"/>
  <c r="G95" i="13"/>
  <c r="F95" i="13"/>
  <c r="E95" i="13"/>
  <c r="D95" i="13"/>
  <c r="C95" i="13"/>
  <c r="B95" i="13"/>
  <c r="A94" i="13" s="1"/>
  <c r="AN93" i="13"/>
  <c r="AJ93" i="13"/>
  <c r="AI93" i="13"/>
  <c r="AH93" i="13"/>
  <c r="AG93" i="13"/>
  <c r="AF93" i="13"/>
  <c r="AE93" i="13"/>
  <c r="AD93" i="13"/>
  <c r="AC93" i="13"/>
  <c r="AB93" i="13"/>
  <c r="AA93" i="13"/>
  <c r="Z93" i="13"/>
  <c r="Y93" i="13"/>
  <c r="X93" i="13"/>
  <c r="W93" i="13"/>
  <c r="V93" i="13"/>
  <c r="U93" i="13"/>
  <c r="T93" i="13"/>
  <c r="S93" i="13"/>
  <c r="R93" i="13"/>
  <c r="Q93" i="13"/>
  <c r="P93" i="13"/>
  <c r="O93" i="13"/>
  <c r="N93" i="13"/>
  <c r="M93" i="13"/>
  <c r="L93" i="13"/>
  <c r="K93" i="13"/>
  <c r="J93" i="13"/>
  <c r="I93" i="13"/>
  <c r="H93" i="13"/>
  <c r="G93" i="13"/>
  <c r="F93" i="13"/>
  <c r="E93" i="13"/>
  <c r="D93" i="13"/>
  <c r="C93" i="13"/>
  <c r="B93" i="13"/>
  <c r="AN92" i="13"/>
  <c r="AJ92" i="13"/>
  <c r="AI92" i="13"/>
  <c r="AH92" i="13"/>
  <c r="AG92" i="13"/>
  <c r="AF92" i="13"/>
  <c r="AE92" i="13"/>
  <c r="AD92" i="13"/>
  <c r="AC92" i="13"/>
  <c r="AB92" i="13"/>
  <c r="AA92" i="13"/>
  <c r="Z92" i="13"/>
  <c r="Y92" i="13"/>
  <c r="X92" i="13"/>
  <c r="W92" i="13"/>
  <c r="V92" i="13"/>
  <c r="U92" i="13"/>
  <c r="T92" i="13"/>
  <c r="S92" i="13"/>
  <c r="R92" i="13"/>
  <c r="Q92" i="13"/>
  <c r="P92" i="13"/>
  <c r="O92" i="13"/>
  <c r="N92" i="13"/>
  <c r="M92" i="13"/>
  <c r="L92" i="13"/>
  <c r="K92" i="13"/>
  <c r="J92" i="13"/>
  <c r="I92" i="13"/>
  <c r="H92" i="13"/>
  <c r="G92" i="13"/>
  <c r="F92" i="13"/>
  <c r="E92" i="13"/>
  <c r="D92" i="13"/>
  <c r="C92" i="13"/>
  <c r="B92" i="13"/>
  <c r="A91" i="13" s="1"/>
  <c r="AN90" i="13"/>
  <c r="AJ90" i="13"/>
  <c r="AI90" i="13"/>
  <c r="AH90" i="13"/>
  <c r="AG90" i="13"/>
  <c r="AF90" i="13"/>
  <c r="AE90" i="13"/>
  <c r="AD90" i="13"/>
  <c r="AC90" i="13"/>
  <c r="AB90" i="13"/>
  <c r="AA90" i="13"/>
  <c r="Z90" i="13"/>
  <c r="Y90" i="13"/>
  <c r="X90" i="13"/>
  <c r="W90" i="13"/>
  <c r="V90" i="13"/>
  <c r="U90" i="13"/>
  <c r="T90" i="13"/>
  <c r="S90" i="13"/>
  <c r="R90" i="13"/>
  <c r="Q90" i="13"/>
  <c r="P90" i="13"/>
  <c r="O90" i="13"/>
  <c r="N90" i="13"/>
  <c r="M90" i="13"/>
  <c r="L90" i="13"/>
  <c r="K90" i="13"/>
  <c r="J90" i="13"/>
  <c r="I90" i="13"/>
  <c r="H90" i="13"/>
  <c r="G90" i="13"/>
  <c r="F90" i="13"/>
  <c r="E90" i="13"/>
  <c r="D90" i="13"/>
  <c r="C90" i="13"/>
  <c r="B90" i="13"/>
  <c r="AN89" i="13"/>
  <c r="AJ89" i="13"/>
  <c r="AI89" i="13"/>
  <c r="AH89" i="13"/>
  <c r="AG89" i="13"/>
  <c r="AF89" i="13"/>
  <c r="AE89" i="13"/>
  <c r="AD89" i="13"/>
  <c r="AC89" i="13"/>
  <c r="AB89" i="13"/>
  <c r="AA89" i="13"/>
  <c r="Z89" i="13"/>
  <c r="Y89" i="13"/>
  <c r="X89" i="13"/>
  <c r="W89" i="13"/>
  <c r="V89" i="13"/>
  <c r="U89" i="13"/>
  <c r="T89" i="13"/>
  <c r="S89" i="13"/>
  <c r="R89" i="13"/>
  <c r="Q89" i="13"/>
  <c r="P89" i="13"/>
  <c r="O89" i="13"/>
  <c r="N89" i="13"/>
  <c r="M89" i="13"/>
  <c r="L89" i="13"/>
  <c r="K89" i="13"/>
  <c r="J89" i="13"/>
  <c r="I89" i="13"/>
  <c r="H89" i="13"/>
  <c r="G89" i="13"/>
  <c r="F89" i="13"/>
  <c r="E89" i="13"/>
  <c r="D89" i="13"/>
  <c r="C89" i="13"/>
  <c r="B89" i="13"/>
  <c r="A88" i="13" s="1"/>
  <c r="AN87" i="13"/>
  <c r="AJ87" i="13"/>
  <c r="AI87" i="13"/>
  <c r="AH87" i="13"/>
  <c r="AG87" i="13"/>
  <c r="AF87" i="13"/>
  <c r="AE87" i="13"/>
  <c r="AD87" i="13"/>
  <c r="AC87" i="13"/>
  <c r="AB87" i="13"/>
  <c r="AA87" i="13"/>
  <c r="Z87" i="13"/>
  <c r="Y87" i="13"/>
  <c r="X87" i="13"/>
  <c r="W87" i="13"/>
  <c r="V87" i="13"/>
  <c r="U87" i="13"/>
  <c r="T87" i="13"/>
  <c r="S87" i="13"/>
  <c r="R87" i="13"/>
  <c r="Q87" i="13"/>
  <c r="P87" i="13"/>
  <c r="O87" i="13"/>
  <c r="N87" i="13"/>
  <c r="M87" i="13"/>
  <c r="L87" i="13"/>
  <c r="K87" i="13"/>
  <c r="J87" i="13"/>
  <c r="I87" i="13"/>
  <c r="H87" i="13"/>
  <c r="G87" i="13"/>
  <c r="F87" i="13"/>
  <c r="E87" i="13"/>
  <c r="D87" i="13"/>
  <c r="C87" i="13"/>
  <c r="B87" i="13"/>
  <c r="AN86" i="13"/>
  <c r="AJ86" i="13"/>
  <c r="AI86" i="13"/>
  <c r="AH86" i="13"/>
  <c r="AG86" i="13"/>
  <c r="AF86" i="13"/>
  <c r="AE86" i="13"/>
  <c r="AD86" i="13"/>
  <c r="AC86" i="13"/>
  <c r="AB86" i="13"/>
  <c r="AA86" i="13"/>
  <c r="Z86" i="13"/>
  <c r="Y86" i="13"/>
  <c r="X86" i="13"/>
  <c r="W86" i="13"/>
  <c r="V86" i="13"/>
  <c r="U86" i="13"/>
  <c r="T86" i="13"/>
  <c r="S86" i="13"/>
  <c r="R86" i="13"/>
  <c r="Q86" i="13"/>
  <c r="P86" i="13"/>
  <c r="O86" i="13"/>
  <c r="N86" i="13"/>
  <c r="M86" i="13"/>
  <c r="L86" i="13"/>
  <c r="K86" i="13"/>
  <c r="J86" i="13"/>
  <c r="I86" i="13"/>
  <c r="H86" i="13"/>
  <c r="G86" i="13"/>
  <c r="F86" i="13"/>
  <c r="E86" i="13"/>
  <c r="D86" i="13"/>
  <c r="C86" i="13"/>
  <c r="B86" i="13"/>
  <c r="AN85" i="13"/>
  <c r="AJ85" i="13"/>
  <c r="AI85" i="13"/>
  <c r="AH85" i="13"/>
  <c r="AG85" i="13"/>
  <c r="AF85" i="13"/>
  <c r="AE85" i="13"/>
  <c r="AD85" i="13"/>
  <c r="AC85" i="13"/>
  <c r="AB85" i="13"/>
  <c r="AA85" i="13"/>
  <c r="Z85" i="13"/>
  <c r="Y85" i="13"/>
  <c r="X85" i="13"/>
  <c r="W85" i="13"/>
  <c r="V85" i="13"/>
  <c r="U85" i="13"/>
  <c r="T85" i="13"/>
  <c r="S85" i="13"/>
  <c r="R85" i="13"/>
  <c r="Q85" i="13"/>
  <c r="P85" i="13"/>
  <c r="O85" i="13"/>
  <c r="N85" i="13"/>
  <c r="M85" i="13"/>
  <c r="L85" i="13"/>
  <c r="K85" i="13"/>
  <c r="J85" i="13"/>
  <c r="I85" i="13"/>
  <c r="H85" i="13"/>
  <c r="G85" i="13"/>
  <c r="F85" i="13"/>
  <c r="E85" i="13"/>
  <c r="D85" i="13"/>
  <c r="C85" i="13"/>
  <c r="B85" i="13"/>
  <c r="AN84" i="13"/>
  <c r="AJ84" i="13"/>
  <c r="AI84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O84" i="13"/>
  <c r="N84" i="13"/>
  <c r="M84" i="13"/>
  <c r="L84" i="13"/>
  <c r="K84" i="13"/>
  <c r="J84" i="13"/>
  <c r="I84" i="13"/>
  <c r="H84" i="13"/>
  <c r="G84" i="13"/>
  <c r="F84" i="13"/>
  <c r="E84" i="13"/>
  <c r="D84" i="13"/>
  <c r="C84" i="13"/>
  <c r="B84" i="13"/>
  <c r="AN83" i="13"/>
  <c r="AJ83" i="13"/>
  <c r="AI83" i="13"/>
  <c r="AH83" i="13"/>
  <c r="AG83" i="13"/>
  <c r="AF83" i="13"/>
  <c r="AE83" i="13"/>
  <c r="AD83" i="13"/>
  <c r="AC83" i="13"/>
  <c r="AB83" i="13"/>
  <c r="AA83" i="13"/>
  <c r="Z83" i="13"/>
  <c r="Y83" i="13"/>
  <c r="X83" i="13"/>
  <c r="W83" i="13"/>
  <c r="V83" i="13"/>
  <c r="U83" i="13"/>
  <c r="T83" i="13"/>
  <c r="S83" i="13"/>
  <c r="R83" i="13"/>
  <c r="Q83" i="13"/>
  <c r="P83" i="13"/>
  <c r="O83" i="13"/>
  <c r="N83" i="13"/>
  <c r="M83" i="13"/>
  <c r="L83" i="13"/>
  <c r="K83" i="13"/>
  <c r="J83" i="13"/>
  <c r="I83" i="13"/>
  <c r="H83" i="13"/>
  <c r="G83" i="13"/>
  <c r="F83" i="13"/>
  <c r="E83" i="13"/>
  <c r="D83" i="13"/>
  <c r="C83" i="13"/>
  <c r="B83" i="13"/>
  <c r="AN82" i="13"/>
  <c r="AJ82" i="13"/>
  <c r="AI82" i="13"/>
  <c r="AH82" i="13"/>
  <c r="AG82" i="13"/>
  <c r="AF82" i="13"/>
  <c r="AE82" i="13"/>
  <c r="AD82" i="13"/>
  <c r="AC82" i="13"/>
  <c r="AB82" i="13"/>
  <c r="AA82" i="13"/>
  <c r="Z82" i="13"/>
  <c r="Y82" i="13"/>
  <c r="X82" i="13"/>
  <c r="W82" i="13"/>
  <c r="V82" i="13"/>
  <c r="U82" i="13"/>
  <c r="T82" i="13"/>
  <c r="S82" i="13"/>
  <c r="R82" i="13"/>
  <c r="Q82" i="13"/>
  <c r="P82" i="13"/>
  <c r="O82" i="13"/>
  <c r="N82" i="13"/>
  <c r="M82" i="13"/>
  <c r="L82" i="13"/>
  <c r="K82" i="13"/>
  <c r="J82" i="13"/>
  <c r="I82" i="13"/>
  <c r="H82" i="13"/>
  <c r="G82" i="13"/>
  <c r="F82" i="13"/>
  <c r="E82" i="13"/>
  <c r="D82" i="13"/>
  <c r="C82" i="13"/>
  <c r="AM84" i="13" l="1"/>
  <c r="AO84" i="13" s="1"/>
  <c r="AM86" i="13"/>
  <c r="AO86" i="13" s="1"/>
  <c r="AM89" i="13"/>
  <c r="AO89" i="13" s="1"/>
  <c r="AM95" i="13"/>
  <c r="AO95" i="13" s="1"/>
  <c r="AM97" i="13"/>
  <c r="AO97" i="13" s="1"/>
  <c r="AM99" i="13"/>
  <c r="AO99" i="13" s="1"/>
  <c r="AM103" i="13"/>
  <c r="AO103" i="13" s="1"/>
  <c r="AM83" i="13"/>
  <c r="AO83" i="13" s="1"/>
  <c r="AM85" i="13"/>
  <c r="AO85" i="13" s="1"/>
  <c r="AM87" i="13"/>
  <c r="AO87" i="13" s="1"/>
  <c r="AM90" i="13"/>
  <c r="AO90" i="13" s="1"/>
  <c r="AM93" i="13"/>
  <c r="AO93" i="13" s="1"/>
  <c r="AM96" i="13"/>
  <c r="AO96" i="13" s="1"/>
  <c r="AM98" i="13"/>
  <c r="AO98" i="13" s="1"/>
  <c r="AM101" i="13"/>
  <c r="AO101" i="13" s="1"/>
  <c r="AM92" i="13"/>
  <c r="AO92" i="13" s="1"/>
  <c r="AM82" i="13"/>
  <c r="AO82" i="13" s="1"/>
  <c r="J10" i="1"/>
  <c r="B82" i="13"/>
  <c r="AN81" i="13"/>
  <c r="AJ81" i="13"/>
  <c r="AI81" i="13"/>
  <c r="AH81" i="13"/>
  <c r="AG81" i="13"/>
  <c r="AF81" i="13"/>
  <c r="AE81" i="13"/>
  <c r="AD81" i="13"/>
  <c r="AC81" i="13"/>
  <c r="AB81" i="13"/>
  <c r="AA81" i="13"/>
  <c r="Z81" i="13"/>
  <c r="Y81" i="13"/>
  <c r="X81" i="13"/>
  <c r="W81" i="13"/>
  <c r="V81" i="13"/>
  <c r="U81" i="13"/>
  <c r="T81" i="13"/>
  <c r="S81" i="13"/>
  <c r="R81" i="13"/>
  <c r="Q81" i="13"/>
  <c r="P81" i="13"/>
  <c r="O81" i="13"/>
  <c r="N81" i="13"/>
  <c r="M81" i="13"/>
  <c r="L81" i="13"/>
  <c r="K81" i="13"/>
  <c r="J81" i="13"/>
  <c r="I81" i="13"/>
  <c r="H81" i="13"/>
  <c r="G81" i="13"/>
  <c r="F81" i="13"/>
  <c r="E81" i="13"/>
  <c r="D81" i="13"/>
  <c r="C81" i="13"/>
  <c r="B81" i="13"/>
  <c r="A80" i="13" s="1"/>
  <c r="AN78" i="13"/>
  <c r="AJ78" i="13"/>
  <c r="AI78" i="13"/>
  <c r="AH78" i="13"/>
  <c r="AG78" i="13"/>
  <c r="AF78" i="13"/>
  <c r="AE78" i="13"/>
  <c r="AD78" i="13"/>
  <c r="AC78" i="13"/>
  <c r="AB78" i="13"/>
  <c r="AA78" i="13"/>
  <c r="Z78" i="13"/>
  <c r="Y78" i="13"/>
  <c r="X78" i="13"/>
  <c r="W78" i="13"/>
  <c r="V78" i="13"/>
  <c r="U78" i="13"/>
  <c r="T78" i="13"/>
  <c r="S78" i="13"/>
  <c r="R78" i="13"/>
  <c r="Q78" i="13"/>
  <c r="P78" i="13"/>
  <c r="O78" i="13"/>
  <c r="N78" i="13"/>
  <c r="M78" i="13"/>
  <c r="L78" i="13"/>
  <c r="K78" i="13"/>
  <c r="J78" i="13"/>
  <c r="I78" i="13"/>
  <c r="H78" i="13"/>
  <c r="G78" i="13"/>
  <c r="F78" i="13"/>
  <c r="E78" i="13"/>
  <c r="D78" i="13"/>
  <c r="C78" i="13"/>
  <c r="B78" i="13"/>
  <c r="AN77" i="13"/>
  <c r="AJ77" i="13"/>
  <c r="AI77" i="13"/>
  <c r="AH77" i="13"/>
  <c r="AG77" i="13"/>
  <c r="AF77" i="13"/>
  <c r="AE77" i="13"/>
  <c r="AD77" i="13"/>
  <c r="AC77" i="13"/>
  <c r="AB77" i="13"/>
  <c r="AA77" i="13"/>
  <c r="Z77" i="13"/>
  <c r="Y77" i="13"/>
  <c r="X77" i="13"/>
  <c r="W77" i="13"/>
  <c r="V77" i="13"/>
  <c r="U77" i="13"/>
  <c r="T77" i="13"/>
  <c r="S77" i="13"/>
  <c r="R77" i="13"/>
  <c r="Q77" i="13"/>
  <c r="P77" i="13"/>
  <c r="O77" i="13"/>
  <c r="N77" i="13"/>
  <c r="M77" i="13"/>
  <c r="L77" i="13"/>
  <c r="K77" i="13"/>
  <c r="J77" i="13"/>
  <c r="I77" i="13"/>
  <c r="H77" i="13"/>
  <c r="G77" i="13"/>
  <c r="F77" i="13"/>
  <c r="E77" i="13"/>
  <c r="D77" i="13"/>
  <c r="C77" i="13"/>
  <c r="B77" i="13"/>
  <c r="AN76" i="13"/>
  <c r="AJ76" i="13"/>
  <c r="AI76" i="13"/>
  <c r="AH76" i="13"/>
  <c r="AG76" i="13"/>
  <c r="AF76" i="13"/>
  <c r="AE76" i="13"/>
  <c r="AD76" i="13"/>
  <c r="AC76" i="13"/>
  <c r="AB76" i="13"/>
  <c r="AA76" i="13"/>
  <c r="Z76" i="13"/>
  <c r="Y76" i="13"/>
  <c r="X76" i="13"/>
  <c r="W76" i="13"/>
  <c r="V76" i="13"/>
  <c r="U76" i="13"/>
  <c r="T76" i="13"/>
  <c r="S76" i="13"/>
  <c r="R76" i="13"/>
  <c r="Q76" i="13"/>
  <c r="P76" i="13"/>
  <c r="O76" i="13"/>
  <c r="N76" i="13"/>
  <c r="M76" i="13"/>
  <c r="L76" i="13"/>
  <c r="K76" i="13"/>
  <c r="J76" i="13"/>
  <c r="I76" i="13"/>
  <c r="H76" i="13"/>
  <c r="G76" i="13"/>
  <c r="F76" i="13"/>
  <c r="E76" i="13"/>
  <c r="D76" i="13"/>
  <c r="C76" i="13"/>
  <c r="B76" i="13"/>
  <c r="AN75" i="13"/>
  <c r="AJ75" i="13"/>
  <c r="AI75" i="13"/>
  <c r="AH75" i="13"/>
  <c r="AG75" i="13"/>
  <c r="AF75" i="13"/>
  <c r="AE75" i="13"/>
  <c r="AD75" i="13"/>
  <c r="AC75" i="13"/>
  <c r="AB75" i="13"/>
  <c r="AA75" i="13"/>
  <c r="Z75" i="13"/>
  <c r="Y75" i="13"/>
  <c r="X75" i="13"/>
  <c r="W75" i="13"/>
  <c r="V75" i="13"/>
  <c r="U75" i="13"/>
  <c r="T75" i="13"/>
  <c r="S75" i="13"/>
  <c r="R75" i="13"/>
  <c r="Q75" i="13"/>
  <c r="P75" i="13"/>
  <c r="O75" i="13"/>
  <c r="N75" i="13"/>
  <c r="M75" i="13"/>
  <c r="L75" i="13"/>
  <c r="K75" i="13"/>
  <c r="J75" i="13"/>
  <c r="I75" i="13"/>
  <c r="H75" i="13"/>
  <c r="G75" i="13"/>
  <c r="F75" i="13"/>
  <c r="E75" i="13"/>
  <c r="D75" i="13"/>
  <c r="C75" i="13"/>
  <c r="B75" i="13"/>
  <c r="A74" i="13" s="1"/>
  <c r="AN73" i="13"/>
  <c r="AJ73" i="13"/>
  <c r="AI73" i="13"/>
  <c r="AH73" i="13"/>
  <c r="AG73" i="13"/>
  <c r="AF73" i="13"/>
  <c r="AE73" i="13"/>
  <c r="AD73" i="13"/>
  <c r="AC73" i="13"/>
  <c r="AB73" i="13"/>
  <c r="AA73" i="13"/>
  <c r="Z73" i="13"/>
  <c r="Y73" i="13"/>
  <c r="X73" i="13"/>
  <c r="W73" i="13"/>
  <c r="V73" i="13"/>
  <c r="U73" i="13"/>
  <c r="T73" i="13"/>
  <c r="S73" i="13"/>
  <c r="R73" i="13"/>
  <c r="Q73" i="13"/>
  <c r="P73" i="13"/>
  <c r="O73" i="13"/>
  <c r="N73" i="13"/>
  <c r="M73" i="13"/>
  <c r="L73" i="13"/>
  <c r="K73" i="13"/>
  <c r="J73" i="13"/>
  <c r="I73" i="13"/>
  <c r="H73" i="13"/>
  <c r="G73" i="13"/>
  <c r="F73" i="13"/>
  <c r="E73" i="13"/>
  <c r="D73" i="13"/>
  <c r="C73" i="13"/>
  <c r="B73" i="13"/>
  <c r="AN72" i="13"/>
  <c r="AJ72" i="13"/>
  <c r="AI72" i="13"/>
  <c r="AH72" i="13"/>
  <c r="AG72" i="13"/>
  <c r="AF72" i="13"/>
  <c r="AE72" i="13"/>
  <c r="AD72" i="13"/>
  <c r="AC72" i="13"/>
  <c r="AB72" i="13"/>
  <c r="AA72" i="13"/>
  <c r="Z72" i="13"/>
  <c r="Y72" i="13"/>
  <c r="X72" i="13"/>
  <c r="W72" i="13"/>
  <c r="V72" i="13"/>
  <c r="U72" i="13"/>
  <c r="T72" i="13"/>
  <c r="S72" i="13"/>
  <c r="R72" i="13"/>
  <c r="Q72" i="13"/>
  <c r="P72" i="13"/>
  <c r="O72" i="13"/>
  <c r="N72" i="13"/>
  <c r="M72" i="13"/>
  <c r="L72" i="13"/>
  <c r="K72" i="13"/>
  <c r="J72" i="13"/>
  <c r="I72" i="13"/>
  <c r="H72" i="13"/>
  <c r="G72" i="13"/>
  <c r="F72" i="13"/>
  <c r="E72" i="13"/>
  <c r="D72" i="13"/>
  <c r="C72" i="13"/>
  <c r="B72" i="13"/>
  <c r="A71" i="13" s="1"/>
  <c r="AN70" i="13"/>
  <c r="AJ70" i="13"/>
  <c r="AI70" i="13"/>
  <c r="AH70" i="13"/>
  <c r="AG70" i="13"/>
  <c r="AF70" i="13"/>
  <c r="AE70" i="13"/>
  <c r="AD70" i="13"/>
  <c r="AC70" i="13"/>
  <c r="AB70" i="13"/>
  <c r="AA70" i="13"/>
  <c r="Z70" i="13"/>
  <c r="Y70" i="13"/>
  <c r="X70" i="13"/>
  <c r="W70" i="13"/>
  <c r="V70" i="13"/>
  <c r="U70" i="13"/>
  <c r="T70" i="13"/>
  <c r="S70" i="13"/>
  <c r="R70" i="13"/>
  <c r="Q70" i="13"/>
  <c r="P70" i="13"/>
  <c r="O70" i="13"/>
  <c r="N70" i="13"/>
  <c r="M70" i="13"/>
  <c r="L70" i="13"/>
  <c r="K70" i="13"/>
  <c r="J70" i="13"/>
  <c r="I70" i="13"/>
  <c r="H70" i="13"/>
  <c r="G70" i="13"/>
  <c r="F70" i="13"/>
  <c r="E70" i="13"/>
  <c r="D70" i="13"/>
  <c r="C70" i="13"/>
  <c r="B70" i="13"/>
  <c r="AN69" i="13"/>
  <c r="AJ69" i="13"/>
  <c r="AI69" i="13"/>
  <c r="AH69" i="13"/>
  <c r="AG69" i="13"/>
  <c r="AF69" i="13"/>
  <c r="AE69" i="13"/>
  <c r="AD69" i="13"/>
  <c r="AC69" i="13"/>
  <c r="AB69" i="13"/>
  <c r="AA69" i="13"/>
  <c r="Z69" i="13"/>
  <c r="Y69" i="13"/>
  <c r="X69" i="13"/>
  <c r="W69" i="13"/>
  <c r="V69" i="13"/>
  <c r="U69" i="13"/>
  <c r="T69" i="13"/>
  <c r="S69" i="13"/>
  <c r="R69" i="13"/>
  <c r="Q69" i="13"/>
  <c r="P69" i="13"/>
  <c r="O69" i="13"/>
  <c r="N69" i="13"/>
  <c r="M69" i="13"/>
  <c r="L69" i="13"/>
  <c r="K69" i="13"/>
  <c r="J69" i="13"/>
  <c r="I69" i="13"/>
  <c r="H69" i="13"/>
  <c r="G69" i="13"/>
  <c r="F69" i="13"/>
  <c r="E69" i="13"/>
  <c r="D69" i="13"/>
  <c r="C69" i="13"/>
  <c r="B69" i="13"/>
  <c r="AN68" i="13"/>
  <c r="AJ68" i="13"/>
  <c r="AI68" i="13"/>
  <c r="AH68" i="13"/>
  <c r="AG68" i="13"/>
  <c r="AF68" i="13"/>
  <c r="AE68" i="13"/>
  <c r="AD68" i="13"/>
  <c r="AC68" i="13"/>
  <c r="AB68" i="13"/>
  <c r="AA68" i="13"/>
  <c r="Z68" i="13"/>
  <c r="Y68" i="13"/>
  <c r="X68" i="13"/>
  <c r="W68" i="13"/>
  <c r="V68" i="13"/>
  <c r="U68" i="13"/>
  <c r="T68" i="13"/>
  <c r="S68" i="13"/>
  <c r="R68" i="13"/>
  <c r="Q68" i="13"/>
  <c r="P68" i="13"/>
  <c r="O68" i="13"/>
  <c r="N68" i="13"/>
  <c r="M68" i="13"/>
  <c r="L68" i="13"/>
  <c r="K68" i="13"/>
  <c r="J68" i="13"/>
  <c r="I68" i="13"/>
  <c r="H68" i="13"/>
  <c r="G68" i="13"/>
  <c r="F68" i="13"/>
  <c r="E68" i="13"/>
  <c r="D68" i="13"/>
  <c r="C68" i="13"/>
  <c r="B68" i="13"/>
  <c r="A67" i="13" s="1"/>
  <c r="AN66" i="13"/>
  <c r="AJ66" i="13"/>
  <c r="AI66" i="13"/>
  <c r="AH66" i="13"/>
  <c r="AG66" i="13"/>
  <c r="AF66" i="13"/>
  <c r="AE66" i="13"/>
  <c r="AD66" i="13"/>
  <c r="AC66" i="13"/>
  <c r="AB66" i="13"/>
  <c r="AA66" i="13"/>
  <c r="Z66" i="13"/>
  <c r="Y66" i="13"/>
  <c r="X66" i="13"/>
  <c r="W66" i="13"/>
  <c r="V66" i="13"/>
  <c r="U66" i="13"/>
  <c r="T66" i="13"/>
  <c r="S66" i="13"/>
  <c r="R66" i="13"/>
  <c r="Q66" i="13"/>
  <c r="P66" i="13"/>
  <c r="O66" i="13"/>
  <c r="N66" i="13"/>
  <c r="M66" i="13"/>
  <c r="L66" i="13"/>
  <c r="K66" i="13"/>
  <c r="J66" i="13"/>
  <c r="I66" i="13"/>
  <c r="H66" i="13"/>
  <c r="G66" i="13"/>
  <c r="F66" i="13"/>
  <c r="E66" i="13"/>
  <c r="D66" i="13"/>
  <c r="C66" i="13"/>
  <c r="B66" i="13"/>
  <c r="AN65" i="13"/>
  <c r="AJ65" i="13"/>
  <c r="AI65" i="13"/>
  <c r="AH65" i="13"/>
  <c r="AG65" i="13"/>
  <c r="AF65" i="13"/>
  <c r="AE65" i="13"/>
  <c r="AD65" i="13"/>
  <c r="AC65" i="13"/>
  <c r="AB65" i="13"/>
  <c r="AA65" i="13"/>
  <c r="Z65" i="13"/>
  <c r="Y65" i="13"/>
  <c r="X65" i="13"/>
  <c r="W65" i="13"/>
  <c r="V65" i="13"/>
  <c r="U65" i="13"/>
  <c r="T65" i="13"/>
  <c r="S65" i="13"/>
  <c r="R65" i="13"/>
  <c r="Q65" i="13"/>
  <c r="P65" i="13"/>
  <c r="O65" i="13"/>
  <c r="N65" i="13"/>
  <c r="M65" i="13"/>
  <c r="L65" i="13"/>
  <c r="K65" i="13"/>
  <c r="J65" i="13"/>
  <c r="I65" i="13"/>
  <c r="H65" i="13"/>
  <c r="G65" i="13"/>
  <c r="F65" i="13"/>
  <c r="E65" i="13"/>
  <c r="D65" i="13"/>
  <c r="C65" i="13"/>
  <c r="B65" i="13"/>
  <c r="AN64" i="13"/>
  <c r="AJ64" i="13"/>
  <c r="AI64" i="13"/>
  <c r="AH64" i="13"/>
  <c r="AG64" i="13"/>
  <c r="AF64" i="13"/>
  <c r="AE64" i="13"/>
  <c r="AD64" i="13"/>
  <c r="AC64" i="13"/>
  <c r="AB64" i="13"/>
  <c r="AA64" i="13"/>
  <c r="Z64" i="13"/>
  <c r="Y64" i="13"/>
  <c r="X64" i="13"/>
  <c r="W64" i="13"/>
  <c r="V64" i="13"/>
  <c r="U64" i="13"/>
  <c r="T64" i="13"/>
  <c r="S64" i="13"/>
  <c r="R64" i="13"/>
  <c r="Q64" i="13"/>
  <c r="P64" i="13"/>
  <c r="O64" i="13"/>
  <c r="N64" i="13"/>
  <c r="M64" i="13"/>
  <c r="L64" i="13"/>
  <c r="K64" i="13"/>
  <c r="J64" i="13"/>
  <c r="I64" i="13"/>
  <c r="H64" i="13"/>
  <c r="G64" i="13"/>
  <c r="F64" i="13"/>
  <c r="E64" i="13"/>
  <c r="D64" i="13"/>
  <c r="C64" i="13"/>
  <c r="B64" i="13"/>
  <c r="AN63" i="13"/>
  <c r="AJ63" i="13"/>
  <c r="AI63" i="13"/>
  <c r="AH63" i="13"/>
  <c r="AG63" i="13"/>
  <c r="AF63" i="13"/>
  <c r="AE63" i="13"/>
  <c r="AD63" i="13"/>
  <c r="AC63" i="13"/>
  <c r="AB63" i="13"/>
  <c r="AA63" i="13"/>
  <c r="Z63" i="13"/>
  <c r="Y63" i="13"/>
  <c r="X63" i="13"/>
  <c r="W63" i="13"/>
  <c r="V63" i="13"/>
  <c r="U63" i="13"/>
  <c r="T63" i="13"/>
  <c r="S63" i="13"/>
  <c r="R63" i="13"/>
  <c r="Q63" i="13"/>
  <c r="P63" i="13"/>
  <c r="O63" i="13"/>
  <c r="N63" i="13"/>
  <c r="M63" i="13"/>
  <c r="L63" i="13"/>
  <c r="K63" i="13"/>
  <c r="J63" i="13"/>
  <c r="I63" i="13"/>
  <c r="H63" i="13"/>
  <c r="G63" i="13"/>
  <c r="F63" i="13"/>
  <c r="E63" i="13"/>
  <c r="D63" i="13"/>
  <c r="C63" i="13"/>
  <c r="B63" i="13"/>
  <c r="AN62" i="13"/>
  <c r="AJ62" i="13"/>
  <c r="AI62" i="13"/>
  <c r="AH62" i="13"/>
  <c r="AG62" i="13"/>
  <c r="AF62" i="13"/>
  <c r="AE62" i="13"/>
  <c r="AD62" i="13"/>
  <c r="AC62" i="13"/>
  <c r="AB62" i="13"/>
  <c r="AA62" i="13"/>
  <c r="Z62" i="13"/>
  <c r="Y62" i="13"/>
  <c r="X62" i="13"/>
  <c r="W62" i="13"/>
  <c r="V62" i="13"/>
  <c r="U62" i="13"/>
  <c r="T62" i="13"/>
  <c r="S62" i="13"/>
  <c r="R62" i="13"/>
  <c r="Q62" i="13"/>
  <c r="P62" i="13"/>
  <c r="O62" i="13"/>
  <c r="N62" i="13"/>
  <c r="M62" i="13"/>
  <c r="L62" i="13"/>
  <c r="K62" i="13"/>
  <c r="J62" i="13"/>
  <c r="I62" i="13"/>
  <c r="H62" i="13"/>
  <c r="G62" i="13"/>
  <c r="F62" i="13"/>
  <c r="E62" i="13"/>
  <c r="D62" i="13"/>
  <c r="C62" i="13"/>
  <c r="B62" i="13"/>
  <c r="AN61" i="13"/>
  <c r="AJ61" i="13"/>
  <c r="AI61" i="13"/>
  <c r="AH61" i="13"/>
  <c r="AG61" i="13"/>
  <c r="AF61" i="13"/>
  <c r="AE61" i="13"/>
  <c r="AD61" i="13"/>
  <c r="AC61" i="13"/>
  <c r="AB61" i="13"/>
  <c r="AA61" i="13"/>
  <c r="Z61" i="13"/>
  <c r="Y61" i="13"/>
  <c r="X61" i="13"/>
  <c r="W61" i="13"/>
  <c r="V61" i="13"/>
  <c r="U61" i="13"/>
  <c r="T61" i="13"/>
  <c r="S61" i="13"/>
  <c r="R61" i="13"/>
  <c r="Q61" i="13"/>
  <c r="P61" i="13"/>
  <c r="O61" i="13"/>
  <c r="N61" i="13"/>
  <c r="M61" i="13"/>
  <c r="L61" i="13"/>
  <c r="K61" i="13"/>
  <c r="J61" i="13"/>
  <c r="I61" i="13"/>
  <c r="H61" i="13"/>
  <c r="G61" i="13"/>
  <c r="F61" i="13"/>
  <c r="E61" i="13"/>
  <c r="D61" i="13"/>
  <c r="C61" i="13"/>
  <c r="B61" i="13"/>
  <c r="AN60" i="13"/>
  <c r="AJ60" i="13"/>
  <c r="AI60" i="13"/>
  <c r="AH60" i="13"/>
  <c r="AG60" i="13"/>
  <c r="AF60" i="13"/>
  <c r="AE60" i="13"/>
  <c r="AD60" i="13"/>
  <c r="AC60" i="13"/>
  <c r="AB60" i="13"/>
  <c r="AA60" i="13"/>
  <c r="Z60" i="13"/>
  <c r="Y60" i="13"/>
  <c r="X60" i="13"/>
  <c r="W60" i="13"/>
  <c r="V60" i="13"/>
  <c r="U60" i="13"/>
  <c r="T60" i="13"/>
  <c r="S60" i="13"/>
  <c r="R60" i="13"/>
  <c r="Q60" i="13"/>
  <c r="P60" i="13"/>
  <c r="O60" i="13"/>
  <c r="N60" i="13"/>
  <c r="M60" i="13"/>
  <c r="L60" i="13"/>
  <c r="K60" i="13"/>
  <c r="J60" i="13"/>
  <c r="I60" i="13"/>
  <c r="H60" i="13"/>
  <c r="G60" i="13"/>
  <c r="F60" i="13"/>
  <c r="E60" i="13"/>
  <c r="D60" i="13"/>
  <c r="C60" i="13"/>
  <c r="B60" i="13"/>
  <c r="AN59" i="13"/>
  <c r="AJ59" i="13"/>
  <c r="AI59" i="13"/>
  <c r="AH59" i="13"/>
  <c r="AG59" i="13"/>
  <c r="AF59" i="13"/>
  <c r="AE59" i="13"/>
  <c r="AD59" i="13"/>
  <c r="AC59" i="13"/>
  <c r="AB59" i="13"/>
  <c r="AA59" i="13"/>
  <c r="Z59" i="13"/>
  <c r="Y59" i="13"/>
  <c r="X59" i="13"/>
  <c r="W59" i="13"/>
  <c r="V59" i="13"/>
  <c r="U59" i="13"/>
  <c r="T59" i="13"/>
  <c r="S59" i="13"/>
  <c r="R59" i="13"/>
  <c r="Q59" i="13"/>
  <c r="P59" i="13"/>
  <c r="O59" i="13"/>
  <c r="N59" i="13"/>
  <c r="M59" i="13"/>
  <c r="L59" i="13"/>
  <c r="K59" i="13"/>
  <c r="J59" i="13"/>
  <c r="I59" i="13"/>
  <c r="H59" i="13"/>
  <c r="G59" i="13"/>
  <c r="F59" i="13"/>
  <c r="E59" i="13"/>
  <c r="D59" i="13"/>
  <c r="C59" i="13"/>
  <c r="B59" i="13"/>
  <c r="AN58" i="13"/>
  <c r="AJ58" i="13"/>
  <c r="AI58" i="13"/>
  <c r="AH58" i="13"/>
  <c r="AG58" i="13"/>
  <c r="AF58" i="13"/>
  <c r="AE58" i="13"/>
  <c r="AD58" i="13"/>
  <c r="AC58" i="13"/>
  <c r="AB58" i="13"/>
  <c r="AA58" i="13"/>
  <c r="Z58" i="13"/>
  <c r="Y58" i="13"/>
  <c r="X58" i="13"/>
  <c r="W58" i="13"/>
  <c r="V58" i="13"/>
  <c r="U58" i="13"/>
  <c r="T58" i="13"/>
  <c r="S58" i="13"/>
  <c r="R58" i="13"/>
  <c r="Q58" i="13"/>
  <c r="P58" i="13"/>
  <c r="O58" i="13"/>
  <c r="N58" i="13"/>
  <c r="M58" i="13"/>
  <c r="L58" i="13"/>
  <c r="K58" i="13"/>
  <c r="J58" i="13"/>
  <c r="I58" i="13"/>
  <c r="H58" i="13"/>
  <c r="G58" i="13"/>
  <c r="F58" i="13"/>
  <c r="E58" i="13"/>
  <c r="D58" i="13"/>
  <c r="C58" i="13"/>
  <c r="B58" i="13"/>
  <c r="AN57" i="13"/>
  <c r="AJ57" i="13"/>
  <c r="AI57" i="13"/>
  <c r="AH57" i="13"/>
  <c r="AG57" i="13"/>
  <c r="AF57" i="13"/>
  <c r="AE57" i="13"/>
  <c r="AD57" i="13"/>
  <c r="AC57" i="13"/>
  <c r="AB57" i="13"/>
  <c r="AA57" i="13"/>
  <c r="Z57" i="13"/>
  <c r="Y57" i="13"/>
  <c r="X57" i="13"/>
  <c r="W57" i="13"/>
  <c r="V57" i="13"/>
  <c r="U57" i="13"/>
  <c r="T57" i="13"/>
  <c r="S57" i="13"/>
  <c r="R57" i="13"/>
  <c r="Q57" i="13"/>
  <c r="P57" i="13"/>
  <c r="O57" i="13"/>
  <c r="N57" i="13"/>
  <c r="M57" i="13"/>
  <c r="L57" i="13"/>
  <c r="K57" i="13"/>
  <c r="J57" i="13"/>
  <c r="I57" i="13"/>
  <c r="H57" i="13"/>
  <c r="G57" i="13"/>
  <c r="F57" i="13"/>
  <c r="E57" i="13"/>
  <c r="D57" i="13"/>
  <c r="C57" i="13"/>
  <c r="B57" i="13"/>
  <c r="AN56" i="13"/>
  <c r="AJ56" i="13"/>
  <c r="AI56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AM57" i="13" l="1"/>
  <c r="AO57" i="13" s="1"/>
  <c r="AM58" i="13"/>
  <c r="AO58" i="13" s="1"/>
  <c r="AM59" i="13"/>
  <c r="AO59" i="13" s="1"/>
  <c r="AM60" i="13"/>
  <c r="AO60" i="13" s="1"/>
  <c r="AM61" i="13"/>
  <c r="AO61" i="13" s="1"/>
  <c r="AM62" i="13"/>
  <c r="AO62" i="13" s="1"/>
  <c r="AM63" i="13"/>
  <c r="AO63" i="13" s="1"/>
  <c r="AM64" i="13"/>
  <c r="AO64" i="13" s="1"/>
  <c r="AM65" i="13"/>
  <c r="AO65" i="13" s="1"/>
  <c r="AM66" i="13"/>
  <c r="AO66" i="13" s="1"/>
  <c r="AM68" i="13"/>
  <c r="AO68" i="13" s="1"/>
  <c r="AM69" i="13"/>
  <c r="AO69" i="13" s="1"/>
  <c r="AM70" i="13"/>
  <c r="AO70" i="13" s="1"/>
  <c r="AM72" i="13"/>
  <c r="AO72" i="13" s="1"/>
  <c r="AM73" i="13"/>
  <c r="AO73" i="13" s="1"/>
  <c r="AM75" i="13"/>
  <c r="AO75" i="13" s="1"/>
  <c r="AM76" i="13"/>
  <c r="AO76" i="13" s="1"/>
  <c r="AM77" i="13"/>
  <c r="AO77" i="13" s="1"/>
  <c r="AM78" i="13"/>
  <c r="AO78" i="13" s="1"/>
  <c r="AM81" i="13"/>
  <c r="AM79" i="13" s="1"/>
  <c r="AN79" i="13" s="1"/>
  <c r="K10" i="1"/>
  <c r="P56" i="13"/>
  <c r="Q56" i="13" s="1"/>
  <c r="O56" i="13"/>
  <c r="N56" i="13"/>
  <c r="M56" i="13"/>
  <c r="L56" i="13"/>
  <c r="K56" i="13"/>
  <c r="J56" i="13"/>
  <c r="I56" i="13"/>
  <c r="H56" i="13"/>
  <c r="G56" i="13"/>
  <c r="F56" i="13"/>
  <c r="E56" i="13"/>
  <c r="D56" i="13"/>
  <c r="C56" i="13"/>
  <c r="B56" i="13"/>
  <c r="AN55" i="13"/>
  <c r="AJ55" i="13"/>
  <c r="AI55" i="13"/>
  <c r="AH55" i="13"/>
  <c r="AG55" i="13"/>
  <c r="AF55" i="13"/>
  <c r="AE55" i="13"/>
  <c r="AD55" i="13"/>
  <c r="AC55" i="13"/>
  <c r="AB55" i="13"/>
  <c r="AA55" i="13"/>
  <c r="Z55" i="13"/>
  <c r="Y55" i="13"/>
  <c r="X55" i="13"/>
  <c r="W55" i="13"/>
  <c r="V55" i="13"/>
  <c r="U55" i="13"/>
  <c r="T55" i="13"/>
  <c r="S55" i="13"/>
  <c r="R55" i="13"/>
  <c r="Q55" i="13"/>
  <c r="P55" i="13"/>
  <c r="O55" i="13"/>
  <c r="N55" i="13"/>
  <c r="M55" i="13"/>
  <c r="L55" i="13"/>
  <c r="K55" i="13"/>
  <c r="J55" i="13"/>
  <c r="I55" i="13"/>
  <c r="H55" i="13"/>
  <c r="G55" i="13"/>
  <c r="F55" i="13"/>
  <c r="E55" i="13"/>
  <c r="D55" i="13"/>
  <c r="C55" i="13"/>
  <c r="B55" i="13"/>
  <c r="A54" i="13" s="1"/>
  <c r="AN53" i="13"/>
  <c r="AJ53" i="13"/>
  <c r="AI53" i="13"/>
  <c r="AH53" i="13"/>
  <c r="AG53" i="13"/>
  <c r="AF53" i="13"/>
  <c r="AE53" i="13"/>
  <c r="AD53" i="13"/>
  <c r="AC53" i="13"/>
  <c r="AB53" i="13"/>
  <c r="AA53" i="13"/>
  <c r="Z53" i="13"/>
  <c r="Y53" i="13"/>
  <c r="X53" i="13"/>
  <c r="W53" i="13"/>
  <c r="V53" i="13"/>
  <c r="U53" i="13"/>
  <c r="T53" i="13"/>
  <c r="S53" i="13"/>
  <c r="R53" i="13"/>
  <c r="Q53" i="13"/>
  <c r="P53" i="13"/>
  <c r="O53" i="13"/>
  <c r="N53" i="13"/>
  <c r="M53" i="13"/>
  <c r="L53" i="13"/>
  <c r="K53" i="13"/>
  <c r="J53" i="13"/>
  <c r="I53" i="13"/>
  <c r="H53" i="13"/>
  <c r="G53" i="13"/>
  <c r="F53" i="13"/>
  <c r="E53" i="13"/>
  <c r="D53" i="13"/>
  <c r="C53" i="13"/>
  <c r="B53" i="13"/>
  <c r="AN52" i="13"/>
  <c r="AJ52" i="13"/>
  <c r="AI52" i="13"/>
  <c r="AH52" i="13"/>
  <c r="AG52" i="13"/>
  <c r="AF52" i="13"/>
  <c r="AE52" i="13"/>
  <c r="AD52" i="13"/>
  <c r="AC52" i="13"/>
  <c r="AB52" i="13"/>
  <c r="AA52" i="13"/>
  <c r="Z52" i="13"/>
  <c r="Y52" i="13"/>
  <c r="X52" i="13"/>
  <c r="W52" i="13"/>
  <c r="V52" i="13"/>
  <c r="U52" i="13"/>
  <c r="T52" i="13"/>
  <c r="S52" i="13"/>
  <c r="R52" i="13"/>
  <c r="Q52" i="13"/>
  <c r="P52" i="13"/>
  <c r="O52" i="13"/>
  <c r="N52" i="13"/>
  <c r="M52" i="13"/>
  <c r="L52" i="13"/>
  <c r="K52" i="13"/>
  <c r="J52" i="13"/>
  <c r="I52" i="13"/>
  <c r="H52" i="13"/>
  <c r="G52" i="13"/>
  <c r="F52" i="13"/>
  <c r="E52" i="13"/>
  <c r="D52" i="13"/>
  <c r="C52" i="13"/>
  <c r="B52" i="13"/>
  <c r="AN51" i="13"/>
  <c r="AJ51" i="13"/>
  <c r="AI51" i="13"/>
  <c r="AH51" i="13"/>
  <c r="AG51" i="13"/>
  <c r="AF51" i="13"/>
  <c r="AE51" i="13"/>
  <c r="AD51" i="13"/>
  <c r="AC51" i="13"/>
  <c r="AB51" i="13"/>
  <c r="AA51" i="13"/>
  <c r="Z51" i="13"/>
  <c r="Y51" i="13"/>
  <c r="X51" i="13"/>
  <c r="W51" i="13"/>
  <c r="V51" i="13"/>
  <c r="U51" i="13"/>
  <c r="T51" i="13"/>
  <c r="S51" i="13"/>
  <c r="R51" i="13"/>
  <c r="Q51" i="13"/>
  <c r="P51" i="13"/>
  <c r="O51" i="13"/>
  <c r="N51" i="13"/>
  <c r="M51" i="13"/>
  <c r="L51" i="13"/>
  <c r="K51" i="13"/>
  <c r="J51" i="13"/>
  <c r="I51" i="13"/>
  <c r="H51" i="13"/>
  <c r="G51" i="13"/>
  <c r="F51" i="13"/>
  <c r="E51" i="13"/>
  <c r="D51" i="13"/>
  <c r="AM52" i="13" l="1"/>
  <c r="AO52" i="13" s="1"/>
  <c r="AM53" i="13"/>
  <c r="AO53" i="13" s="1"/>
  <c r="AM55" i="13"/>
  <c r="AO55" i="13" s="1"/>
  <c r="AO81" i="13"/>
  <c r="AM51" i="13"/>
  <c r="AO51" i="13" s="1"/>
  <c r="AM56" i="13"/>
  <c r="AO56" i="13" s="1"/>
  <c r="L10" i="1"/>
  <c r="C51" i="13"/>
  <c r="B51" i="13"/>
  <c r="AN50" i="13"/>
  <c r="M10" i="1" l="1"/>
  <c r="AJ50" i="13"/>
  <c r="AI50" i="13"/>
  <c r="AH50" i="13"/>
  <c r="AG50" i="13"/>
  <c r="AF50" i="13"/>
  <c r="AE50" i="13"/>
  <c r="AD50" i="13"/>
  <c r="AC50" i="13"/>
  <c r="AB50" i="13"/>
  <c r="AA50" i="13"/>
  <c r="Z50" i="13"/>
  <c r="Y50" i="13"/>
  <c r="X50" i="13"/>
  <c r="W50" i="13"/>
  <c r="V50" i="13"/>
  <c r="U50" i="13"/>
  <c r="T50" i="13"/>
  <c r="S50" i="13"/>
  <c r="R50" i="13"/>
  <c r="Q50" i="13"/>
  <c r="P50" i="13"/>
  <c r="O50" i="13"/>
  <c r="N50" i="13"/>
  <c r="M50" i="13"/>
  <c r="L50" i="13"/>
  <c r="K50" i="13"/>
  <c r="J50" i="13"/>
  <c r="I50" i="13"/>
  <c r="H50" i="13"/>
  <c r="G50" i="13"/>
  <c r="F50" i="13"/>
  <c r="E50" i="13"/>
  <c r="D50" i="13"/>
  <c r="C50" i="13"/>
  <c r="B50" i="13"/>
  <c r="A49" i="13" s="1"/>
  <c r="AM50" i="13" l="1"/>
  <c r="AO50" i="13" s="1"/>
  <c r="N10" i="1"/>
  <c r="AN47" i="13"/>
  <c r="AJ47" i="13"/>
  <c r="AI47" i="13"/>
  <c r="AH47" i="13"/>
  <c r="AG47" i="13"/>
  <c r="AF47" i="13"/>
  <c r="AE47" i="13"/>
  <c r="AD47" i="13"/>
  <c r="AC47" i="13"/>
  <c r="AB47" i="13"/>
  <c r="AA47" i="13"/>
  <c r="Z47" i="13"/>
  <c r="Y47" i="13"/>
  <c r="X47" i="13"/>
  <c r="W47" i="13"/>
  <c r="V47" i="13"/>
  <c r="U47" i="13"/>
  <c r="T47" i="13"/>
  <c r="S47" i="13"/>
  <c r="R47" i="13"/>
  <c r="Q47" i="13"/>
  <c r="P47" i="13"/>
  <c r="O47" i="13"/>
  <c r="N47" i="13"/>
  <c r="M47" i="13"/>
  <c r="L47" i="13"/>
  <c r="K47" i="13"/>
  <c r="J47" i="13"/>
  <c r="I47" i="13"/>
  <c r="H47" i="13"/>
  <c r="G47" i="13"/>
  <c r="F47" i="13"/>
  <c r="E47" i="13"/>
  <c r="D47" i="13"/>
  <c r="C47" i="13"/>
  <c r="B47" i="13"/>
  <c r="AN46" i="13"/>
  <c r="AJ46" i="13"/>
  <c r="AI46" i="13"/>
  <c r="AH46" i="13"/>
  <c r="AG46" i="13"/>
  <c r="AF46" i="13"/>
  <c r="AE46" i="13"/>
  <c r="AD46" i="13"/>
  <c r="AC46" i="13"/>
  <c r="AB46" i="13"/>
  <c r="AA46" i="13"/>
  <c r="Z46" i="13"/>
  <c r="Y46" i="13"/>
  <c r="X46" i="13"/>
  <c r="W46" i="13"/>
  <c r="V46" i="13"/>
  <c r="U46" i="13"/>
  <c r="T46" i="13"/>
  <c r="S46" i="13"/>
  <c r="R46" i="13"/>
  <c r="Q46" i="13"/>
  <c r="P46" i="13"/>
  <c r="O46" i="13"/>
  <c r="N46" i="13"/>
  <c r="M46" i="13"/>
  <c r="L46" i="13"/>
  <c r="K46" i="13"/>
  <c r="J46" i="13"/>
  <c r="I46" i="13"/>
  <c r="H46" i="13"/>
  <c r="G46" i="13"/>
  <c r="F46" i="13"/>
  <c r="E46" i="13"/>
  <c r="D46" i="13"/>
  <c r="C46" i="13"/>
  <c r="B46" i="13"/>
  <c r="AN45" i="13"/>
  <c r="AJ45" i="13"/>
  <c r="AI45" i="13"/>
  <c r="AH45" i="13"/>
  <c r="AG45" i="13"/>
  <c r="AF45" i="13"/>
  <c r="AE45" i="13"/>
  <c r="AD45" i="13"/>
  <c r="AC45" i="13"/>
  <c r="AB45" i="13"/>
  <c r="AA45" i="13"/>
  <c r="Z45" i="13"/>
  <c r="Y45" i="13"/>
  <c r="X45" i="13"/>
  <c r="W45" i="13"/>
  <c r="V45" i="13"/>
  <c r="U45" i="13"/>
  <c r="T45" i="13"/>
  <c r="S45" i="13"/>
  <c r="R45" i="13"/>
  <c r="Q45" i="13"/>
  <c r="P45" i="13"/>
  <c r="O45" i="13"/>
  <c r="N45" i="13"/>
  <c r="M45" i="13"/>
  <c r="L45" i="13"/>
  <c r="K45" i="13"/>
  <c r="J45" i="13"/>
  <c r="I45" i="13"/>
  <c r="H45" i="13"/>
  <c r="G45" i="13"/>
  <c r="F45" i="13"/>
  <c r="E45" i="13"/>
  <c r="D45" i="13"/>
  <c r="C45" i="13"/>
  <c r="B45" i="13"/>
  <c r="AN44" i="13"/>
  <c r="AJ44" i="13"/>
  <c r="AI44" i="13"/>
  <c r="AH44" i="13"/>
  <c r="AG44" i="13"/>
  <c r="AF44" i="13"/>
  <c r="AE44" i="13"/>
  <c r="AD44" i="13"/>
  <c r="AC44" i="13"/>
  <c r="AB44" i="13"/>
  <c r="AA44" i="13"/>
  <c r="Z44" i="13"/>
  <c r="Y44" i="13"/>
  <c r="X44" i="13"/>
  <c r="W44" i="13"/>
  <c r="V44" i="13"/>
  <c r="U44" i="13"/>
  <c r="T44" i="13"/>
  <c r="S44" i="13"/>
  <c r="R44" i="13"/>
  <c r="Q44" i="13"/>
  <c r="P44" i="13"/>
  <c r="O44" i="13"/>
  <c r="N44" i="13"/>
  <c r="M44" i="13"/>
  <c r="L44" i="13"/>
  <c r="K44" i="13"/>
  <c r="J44" i="13"/>
  <c r="I44" i="13"/>
  <c r="H44" i="13"/>
  <c r="G44" i="13"/>
  <c r="F44" i="13"/>
  <c r="E44" i="13"/>
  <c r="D44" i="13"/>
  <c r="C44" i="13"/>
  <c r="B44" i="13"/>
  <c r="AN43" i="13"/>
  <c r="AJ43" i="13"/>
  <c r="AI43" i="13"/>
  <c r="AH43" i="13"/>
  <c r="AG43" i="13"/>
  <c r="AF43" i="13"/>
  <c r="AE43" i="13"/>
  <c r="AD43" i="13"/>
  <c r="AC43" i="13"/>
  <c r="AB43" i="13"/>
  <c r="AA43" i="13"/>
  <c r="Z43" i="13"/>
  <c r="Y43" i="13"/>
  <c r="X43" i="13"/>
  <c r="W43" i="13"/>
  <c r="V43" i="13"/>
  <c r="U43" i="13"/>
  <c r="T43" i="13"/>
  <c r="S43" i="13"/>
  <c r="R43" i="13"/>
  <c r="Q43" i="13"/>
  <c r="P43" i="13"/>
  <c r="O43" i="13"/>
  <c r="N43" i="13"/>
  <c r="M43" i="13"/>
  <c r="L43" i="13"/>
  <c r="K43" i="13"/>
  <c r="J43" i="13"/>
  <c r="I43" i="13"/>
  <c r="H43" i="13"/>
  <c r="G43" i="13"/>
  <c r="F43" i="13"/>
  <c r="E43" i="13"/>
  <c r="D43" i="13"/>
  <c r="C43" i="13"/>
  <c r="B43" i="13"/>
  <c r="AN42" i="13"/>
  <c r="AJ42" i="13"/>
  <c r="AI42" i="13"/>
  <c r="AH42" i="13"/>
  <c r="AG42" i="13"/>
  <c r="AF42" i="13"/>
  <c r="AE42" i="13"/>
  <c r="AD42" i="13"/>
  <c r="AC42" i="13"/>
  <c r="AB42" i="13"/>
  <c r="AA42" i="13"/>
  <c r="Z42" i="13"/>
  <c r="Y42" i="13"/>
  <c r="X42" i="13"/>
  <c r="W42" i="13"/>
  <c r="V42" i="13"/>
  <c r="U42" i="13"/>
  <c r="T42" i="13"/>
  <c r="S42" i="13"/>
  <c r="R42" i="13"/>
  <c r="Q42" i="13"/>
  <c r="P42" i="13"/>
  <c r="O42" i="13"/>
  <c r="N42" i="13"/>
  <c r="M42" i="13"/>
  <c r="L42" i="13"/>
  <c r="K42" i="13"/>
  <c r="J42" i="13"/>
  <c r="I42" i="13"/>
  <c r="H42" i="13"/>
  <c r="G42" i="13"/>
  <c r="F42" i="13"/>
  <c r="E42" i="13"/>
  <c r="D42" i="13"/>
  <c r="C42" i="13"/>
  <c r="B42" i="13"/>
  <c r="AN41" i="13"/>
  <c r="AJ41" i="13"/>
  <c r="AI41" i="13"/>
  <c r="AH41" i="13"/>
  <c r="AG41" i="13"/>
  <c r="AF41" i="13"/>
  <c r="AE41" i="13"/>
  <c r="AD41" i="13"/>
  <c r="AC41" i="13"/>
  <c r="AB41" i="13"/>
  <c r="AA41" i="13"/>
  <c r="Z41" i="13"/>
  <c r="Y41" i="13"/>
  <c r="X41" i="13"/>
  <c r="W41" i="13"/>
  <c r="V41" i="13"/>
  <c r="U41" i="13"/>
  <c r="T41" i="13"/>
  <c r="S41" i="13"/>
  <c r="R41" i="13"/>
  <c r="Q41" i="13"/>
  <c r="P41" i="13"/>
  <c r="O41" i="13"/>
  <c r="N41" i="13"/>
  <c r="M41" i="13"/>
  <c r="L41" i="13"/>
  <c r="K41" i="13"/>
  <c r="J41" i="13"/>
  <c r="I41" i="13"/>
  <c r="H41" i="13"/>
  <c r="G41" i="13"/>
  <c r="F41" i="13"/>
  <c r="E41" i="13"/>
  <c r="D41" i="13"/>
  <c r="C41" i="13"/>
  <c r="B41" i="13"/>
  <c r="A40" i="13" s="1"/>
  <c r="AN39" i="13"/>
  <c r="AJ39" i="13"/>
  <c r="AI39" i="13"/>
  <c r="AH39" i="13"/>
  <c r="AG39" i="13"/>
  <c r="AF39" i="13"/>
  <c r="AE39" i="13"/>
  <c r="AD39" i="13"/>
  <c r="AC39" i="13"/>
  <c r="AB39" i="13"/>
  <c r="AA39" i="13"/>
  <c r="Z39" i="13"/>
  <c r="Y39" i="13"/>
  <c r="X39" i="13"/>
  <c r="W39" i="13"/>
  <c r="V39" i="13"/>
  <c r="U39" i="13"/>
  <c r="T39" i="13"/>
  <c r="S39" i="13"/>
  <c r="R39" i="13"/>
  <c r="Q39" i="13"/>
  <c r="P39" i="13"/>
  <c r="O39" i="13"/>
  <c r="N39" i="13"/>
  <c r="M39" i="13"/>
  <c r="L39" i="13"/>
  <c r="K39" i="13"/>
  <c r="J39" i="13"/>
  <c r="I39" i="13"/>
  <c r="H39" i="13"/>
  <c r="G39" i="13"/>
  <c r="F39" i="13"/>
  <c r="E39" i="13"/>
  <c r="D39" i="13"/>
  <c r="C39" i="13"/>
  <c r="B39" i="13"/>
  <c r="AN38" i="13"/>
  <c r="AJ38" i="13"/>
  <c r="AI38" i="13"/>
  <c r="AH38" i="13"/>
  <c r="AG38" i="13"/>
  <c r="AF38" i="13"/>
  <c r="AE38" i="13"/>
  <c r="AD38" i="13"/>
  <c r="AC38" i="13"/>
  <c r="AB38" i="13"/>
  <c r="AA38" i="13"/>
  <c r="Z38" i="13"/>
  <c r="Y38" i="13"/>
  <c r="X38" i="13"/>
  <c r="W38" i="13"/>
  <c r="V38" i="13"/>
  <c r="U38" i="13"/>
  <c r="T38" i="13"/>
  <c r="S38" i="13"/>
  <c r="R38" i="13"/>
  <c r="Q38" i="13"/>
  <c r="P38" i="13"/>
  <c r="O38" i="13"/>
  <c r="N38" i="13"/>
  <c r="M38" i="13"/>
  <c r="L38" i="13"/>
  <c r="K38" i="13"/>
  <c r="J38" i="13"/>
  <c r="I38" i="13"/>
  <c r="H38" i="13"/>
  <c r="G38" i="13"/>
  <c r="F38" i="13"/>
  <c r="E38" i="13"/>
  <c r="D38" i="13"/>
  <c r="C38" i="13"/>
  <c r="B38" i="13"/>
  <c r="A37" i="13"/>
  <c r="AN36" i="13"/>
  <c r="AJ36" i="13"/>
  <c r="AI36" i="13"/>
  <c r="AH36" i="13"/>
  <c r="AG36" i="13"/>
  <c r="AF36" i="13"/>
  <c r="AE36" i="13"/>
  <c r="AD36" i="13"/>
  <c r="AC36" i="13"/>
  <c r="AB36" i="13"/>
  <c r="AA36" i="13"/>
  <c r="Z36" i="13"/>
  <c r="Y36" i="13"/>
  <c r="X36" i="13"/>
  <c r="W36" i="13"/>
  <c r="V36" i="13"/>
  <c r="U36" i="13"/>
  <c r="T36" i="13"/>
  <c r="S36" i="13"/>
  <c r="R36" i="13"/>
  <c r="Q36" i="13"/>
  <c r="P36" i="13"/>
  <c r="O36" i="13"/>
  <c r="N36" i="13"/>
  <c r="M36" i="13"/>
  <c r="L36" i="13"/>
  <c r="K36" i="13"/>
  <c r="J36" i="13"/>
  <c r="I36" i="13"/>
  <c r="H36" i="13"/>
  <c r="G36" i="13"/>
  <c r="F36" i="13"/>
  <c r="E36" i="13"/>
  <c r="D36" i="13"/>
  <c r="C36" i="13"/>
  <c r="B36" i="13"/>
  <c r="AN35" i="13"/>
  <c r="AJ35" i="13"/>
  <c r="AI35" i="13"/>
  <c r="AH35" i="13"/>
  <c r="AG35" i="13"/>
  <c r="AF35" i="13"/>
  <c r="AE35" i="13"/>
  <c r="AD35" i="13"/>
  <c r="AC35" i="13"/>
  <c r="AB35" i="13"/>
  <c r="AA35" i="13"/>
  <c r="Z35" i="13"/>
  <c r="Y35" i="13"/>
  <c r="X35" i="13"/>
  <c r="W35" i="13"/>
  <c r="V35" i="13"/>
  <c r="U35" i="13"/>
  <c r="T35" i="13"/>
  <c r="S35" i="13"/>
  <c r="R35" i="13"/>
  <c r="Q35" i="13"/>
  <c r="P35" i="13"/>
  <c r="O35" i="13"/>
  <c r="N35" i="13"/>
  <c r="M35" i="13"/>
  <c r="L35" i="13"/>
  <c r="K35" i="13"/>
  <c r="J35" i="13"/>
  <c r="I35" i="13"/>
  <c r="H35" i="13"/>
  <c r="G35" i="13"/>
  <c r="F35" i="13"/>
  <c r="E35" i="13"/>
  <c r="D35" i="13"/>
  <c r="C35" i="13"/>
  <c r="B35" i="13"/>
  <c r="AN34" i="13"/>
  <c r="AJ34" i="13"/>
  <c r="AI34" i="13"/>
  <c r="AH34" i="13"/>
  <c r="AG34" i="13"/>
  <c r="AF34" i="13"/>
  <c r="AE34" i="13"/>
  <c r="AD34" i="13"/>
  <c r="AC34" i="13"/>
  <c r="AB34" i="13"/>
  <c r="AA34" i="13"/>
  <c r="Z34" i="13"/>
  <c r="Y34" i="13"/>
  <c r="X34" i="13"/>
  <c r="W34" i="13"/>
  <c r="V34" i="13"/>
  <c r="U34" i="13"/>
  <c r="T34" i="13"/>
  <c r="S34" i="13"/>
  <c r="R34" i="13"/>
  <c r="Q34" i="13"/>
  <c r="P34" i="13"/>
  <c r="O34" i="13"/>
  <c r="N34" i="13"/>
  <c r="M34" i="13"/>
  <c r="L34" i="13"/>
  <c r="K34" i="13"/>
  <c r="J34" i="13"/>
  <c r="I34" i="13"/>
  <c r="H34" i="13"/>
  <c r="G34" i="13"/>
  <c r="F34" i="13"/>
  <c r="E34" i="13"/>
  <c r="D34" i="13"/>
  <c r="C34" i="13"/>
  <c r="B34" i="13"/>
  <c r="AN33" i="13"/>
  <c r="AJ33" i="13"/>
  <c r="AI33" i="13"/>
  <c r="AH33" i="13"/>
  <c r="AG33" i="13"/>
  <c r="AF33" i="13"/>
  <c r="AE33" i="13"/>
  <c r="AD33" i="13"/>
  <c r="AC33" i="13"/>
  <c r="AB33" i="13"/>
  <c r="AA33" i="13"/>
  <c r="Z33" i="13"/>
  <c r="Y33" i="13"/>
  <c r="X33" i="13"/>
  <c r="W33" i="13"/>
  <c r="V33" i="13"/>
  <c r="U33" i="13"/>
  <c r="T33" i="13"/>
  <c r="S33" i="13"/>
  <c r="R33" i="13"/>
  <c r="Q33" i="13"/>
  <c r="P33" i="13"/>
  <c r="O33" i="13"/>
  <c r="N33" i="13"/>
  <c r="M33" i="13"/>
  <c r="L33" i="13"/>
  <c r="K33" i="13"/>
  <c r="J33" i="13"/>
  <c r="I33" i="13"/>
  <c r="H33" i="13"/>
  <c r="G33" i="13"/>
  <c r="F33" i="13"/>
  <c r="E33" i="13"/>
  <c r="D33" i="13"/>
  <c r="C33" i="13"/>
  <c r="B33" i="13"/>
  <c r="A32" i="13" s="1"/>
  <c r="AN31" i="13"/>
  <c r="AM48" i="13" l="1"/>
  <c r="AN48" i="13" s="1"/>
  <c r="AM38" i="13"/>
  <c r="AO38" i="13" s="1"/>
  <c r="AM45" i="13"/>
  <c r="AO45" i="13" s="1"/>
  <c r="AM47" i="13"/>
  <c r="AO47" i="13" s="1"/>
  <c r="AM41" i="13"/>
  <c r="AO41" i="13" s="1"/>
  <c r="AM43" i="13"/>
  <c r="AO43" i="13" s="1"/>
  <c r="AM39" i="13"/>
  <c r="AO39" i="13" s="1"/>
  <c r="AM42" i="13"/>
  <c r="AO42" i="13" s="1"/>
  <c r="AM44" i="13"/>
  <c r="AO44" i="13" s="1"/>
  <c r="AM46" i="13"/>
  <c r="AO46" i="13" s="1"/>
  <c r="AM33" i="13"/>
  <c r="AO33" i="13" s="1"/>
  <c r="AM34" i="13"/>
  <c r="AO34" i="13" s="1"/>
  <c r="AM35" i="13"/>
  <c r="AO35" i="13" s="1"/>
  <c r="AM36" i="13"/>
  <c r="AO36" i="13" s="1"/>
  <c r="O10" i="1"/>
  <c r="AJ31" i="13"/>
  <c r="AI31" i="13"/>
  <c r="AH31" i="13"/>
  <c r="AG31" i="13"/>
  <c r="AF31" i="13"/>
  <c r="AE31" i="13"/>
  <c r="AD31" i="13"/>
  <c r="AC31" i="13"/>
  <c r="AB31" i="13"/>
  <c r="AA31" i="13"/>
  <c r="Z31" i="13"/>
  <c r="Y31" i="13"/>
  <c r="X31" i="13"/>
  <c r="W31" i="13"/>
  <c r="V31" i="13"/>
  <c r="U31" i="13"/>
  <c r="T31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D31" i="13"/>
  <c r="C31" i="13"/>
  <c r="B31" i="13"/>
  <c r="AN30" i="13"/>
  <c r="AJ30" i="13"/>
  <c r="AI30" i="13"/>
  <c r="AH30" i="13"/>
  <c r="AG30" i="13"/>
  <c r="AF30" i="13"/>
  <c r="AE30" i="13"/>
  <c r="AD30" i="13"/>
  <c r="AC30" i="13"/>
  <c r="AB30" i="13"/>
  <c r="AA30" i="13"/>
  <c r="Z30" i="13"/>
  <c r="Y30" i="13"/>
  <c r="X30" i="13"/>
  <c r="W30" i="13"/>
  <c r="V30" i="13"/>
  <c r="U30" i="13"/>
  <c r="T30" i="13"/>
  <c r="S30" i="13"/>
  <c r="R30" i="13"/>
  <c r="Q30" i="13"/>
  <c r="P30" i="13"/>
  <c r="O30" i="13"/>
  <c r="N30" i="13"/>
  <c r="M30" i="13"/>
  <c r="L30" i="13"/>
  <c r="K30" i="13"/>
  <c r="J30" i="13"/>
  <c r="I30" i="13"/>
  <c r="H30" i="13"/>
  <c r="G30" i="13"/>
  <c r="F30" i="13"/>
  <c r="E30" i="13"/>
  <c r="D30" i="13"/>
  <c r="C30" i="13"/>
  <c r="B30" i="13"/>
  <c r="AN29" i="13"/>
  <c r="AJ29" i="13"/>
  <c r="AI29" i="13"/>
  <c r="AH29" i="13"/>
  <c r="AG29" i="13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B29" i="13"/>
  <c r="AN27" i="13"/>
  <c r="AJ27" i="13"/>
  <c r="AI27" i="13"/>
  <c r="AH27" i="13"/>
  <c r="AG27" i="13"/>
  <c r="AF27" i="13"/>
  <c r="AE27" i="13"/>
  <c r="AD27" i="13"/>
  <c r="AC27" i="13"/>
  <c r="AB27" i="13"/>
  <c r="AA27" i="13"/>
  <c r="Z27" i="13"/>
  <c r="Y27" i="13"/>
  <c r="X27" i="13"/>
  <c r="W27" i="13"/>
  <c r="V27" i="13"/>
  <c r="U27" i="13"/>
  <c r="T27" i="13"/>
  <c r="S27" i="13"/>
  <c r="R27" i="13"/>
  <c r="Q27" i="13"/>
  <c r="P27" i="13"/>
  <c r="O27" i="13"/>
  <c r="N27" i="13"/>
  <c r="M27" i="13"/>
  <c r="L27" i="13"/>
  <c r="K27" i="13"/>
  <c r="J27" i="13"/>
  <c r="I27" i="13"/>
  <c r="H27" i="13"/>
  <c r="G27" i="13"/>
  <c r="F27" i="13"/>
  <c r="E27" i="13"/>
  <c r="D27" i="13"/>
  <c r="C27" i="13"/>
  <c r="B27" i="13"/>
  <c r="AM30" i="13" l="1"/>
  <c r="AO30" i="13" s="1"/>
  <c r="AM29" i="13"/>
  <c r="AO29" i="13" s="1"/>
  <c r="AM31" i="13"/>
  <c r="AO31" i="13" s="1"/>
  <c r="AM27" i="13"/>
  <c r="AO27" i="13" s="1"/>
  <c r="P10" i="1"/>
  <c r="A26" i="13"/>
  <c r="A28" i="13" s="1"/>
  <c r="AN25" i="13"/>
  <c r="AJ25" i="13"/>
  <c r="AI25" i="13"/>
  <c r="AH25" i="13"/>
  <c r="AG25" i="13"/>
  <c r="AF25" i="13"/>
  <c r="AE25" i="13"/>
  <c r="AD25" i="13"/>
  <c r="AC25" i="13"/>
  <c r="AB25" i="13"/>
  <c r="AA25" i="13"/>
  <c r="Z25" i="13"/>
  <c r="Y25" i="13"/>
  <c r="X25" i="13"/>
  <c r="W25" i="13"/>
  <c r="V25" i="13"/>
  <c r="U25" i="13"/>
  <c r="T25" i="13"/>
  <c r="S25" i="13"/>
  <c r="R25" i="13"/>
  <c r="Q25" i="13"/>
  <c r="P25" i="13"/>
  <c r="O25" i="13"/>
  <c r="N25" i="13"/>
  <c r="M25" i="13"/>
  <c r="L25" i="13"/>
  <c r="K25" i="13"/>
  <c r="J25" i="13"/>
  <c r="I25" i="13"/>
  <c r="H25" i="13"/>
  <c r="G25" i="13"/>
  <c r="F25" i="13"/>
  <c r="E25" i="13"/>
  <c r="D25" i="13"/>
  <c r="C25" i="13"/>
  <c r="B25" i="13"/>
  <c r="AN24" i="13"/>
  <c r="AJ24" i="13"/>
  <c r="AI24" i="13"/>
  <c r="AH24" i="13"/>
  <c r="AG24" i="13"/>
  <c r="AF24" i="13"/>
  <c r="AE24" i="13"/>
  <c r="AD24" i="13"/>
  <c r="AC24" i="13"/>
  <c r="AB24" i="13"/>
  <c r="AA24" i="13"/>
  <c r="Z24" i="13"/>
  <c r="Y24" i="13"/>
  <c r="X24" i="13"/>
  <c r="W24" i="13"/>
  <c r="V24" i="13"/>
  <c r="U24" i="13"/>
  <c r="T24" i="13"/>
  <c r="S24" i="13"/>
  <c r="R24" i="13"/>
  <c r="P24" i="13"/>
  <c r="O24" i="13"/>
  <c r="N24" i="13"/>
  <c r="M24" i="13"/>
  <c r="L24" i="13"/>
  <c r="K24" i="13"/>
  <c r="J24" i="13"/>
  <c r="I24" i="13"/>
  <c r="H24" i="13"/>
  <c r="G24" i="13"/>
  <c r="F24" i="13"/>
  <c r="E24" i="13"/>
  <c r="D24" i="13"/>
  <c r="C24" i="13"/>
  <c r="B24" i="13"/>
  <c r="AN23" i="13"/>
  <c r="AJ23" i="13"/>
  <c r="AI23" i="13"/>
  <c r="AH23" i="13"/>
  <c r="AG23" i="13"/>
  <c r="AF23" i="13"/>
  <c r="AE23" i="13"/>
  <c r="AD23" i="13"/>
  <c r="AC23" i="13"/>
  <c r="AB23" i="13"/>
  <c r="AA23" i="13"/>
  <c r="Z23" i="13"/>
  <c r="Y23" i="13"/>
  <c r="X23" i="13"/>
  <c r="W23" i="13"/>
  <c r="V23" i="13"/>
  <c r="U23" i="13"/>
  <c r="T23" i="13"/>
  <c r="S23" i="13"/>
  <c r="R23" i="13"/>
  <c r="Q23" i="13"/>
  <c r="P23" i="13"/>
  <c r="O23" i="13"/>
  <c r="N23" i="13"/>
  <c r="M23" i="13"/>
  <c r="L23" i="13"/>
  <c r="K23" i="13"/>
  <c r="J23" i="13"/>
  <c r="I23" i="13"/>
  <c r="H23" i="13"/>
  <c r="G23" i="13"/>
  <c r="F23" i="13"/>
  <c r="E23" i="13"/>
  <c r="D23" i="13"/>
  <c r="C23" i="13"/>
  <c r="B23" i="13"/>
  <c r="AN22" i="13"/>
  <c r="AJ22" i="13"/>
  <c r="AI22" i="13"/>
  <c r="AH22" i="13"/>
  <c r="AG22" i="13"/>
  <c r="AF22" i="13"/>
  <c r="AE22" i="13"/>
  <c r="AD22" i="13"/>
  <c r="AC22" i="13"/>
  <c r="AB22" i="13"/>
  <c r="AA22" i="13"/>
  <c r="Z22" i="13"/>
  <c r="Y22" i="13"/>
  <c r="X22" i="13"/>
  <c r="W22" i="13"/>
  <c r="V22" i="13"/>
  <c r="U22" i="13"/>
  <c r="T22" i="13"/>
  <c r="S22" i="13"/>
  <c r="R22" i="13"/>
  <c r="Q22" i="13"/>
  <c r="P22" i="13"/>
  <c r="O22" i="13"/>
  <c r="N22" i="13"/>
  <c r="M22" i="13"/>
  <c r="L22" i="13"/>
  <c r="K22" i="13"/>
  <c r="J22" i="13"/>
  <c r="I22" i="13"/>
  <c r="H22" i="13"/>
  <c r="G22" i="13"/>
  <c r="F22" i="13"/>
  <c r="E22" i="13"/>
  <c r="D22" i="13"/>
  <c r="C22" i="13"/>
  <c r="B22" i="13"/>
  <c r="AN21" i="13"/>
  <c r="AJ21" i="13"/>
  <c r="AI21" i="13"/>
  <c r="AH21" i="13"/>
  <c r="AG21" i="13"/>
  <c r="AF21" i="13"/>
  <c r="AE21" i="13"/>
  <c r="AD21" i="13"/>
  <c r="AC21" i="13"/>
  <c r="AB21" i="13"/>
  <c r="AA21" i="13"/>
  <c r="Z21" i="13"/>
  <c r="Y21" i="13"/>
  <c r="X21" i="13"/>
  <c r="W21" i="13"/>
  <c r="V21" i="13"/>
  <c r="U21" i="13"/>
  <c r="T21" i="13"/>
  <c r="S21" i="13"/>
  <c r="R21" i="13"/>
  <c r="Q21" i="13"/>
  <c r="P21" i="13"/>
  <c r="O21" i="13"/>
  <c r="N21" i="13"/>
  <c r="M21" i="13"/>
  <c r="L21" i="13"/>
  <c r="K21" i="13"/>
  <c r="J21" i="13"/>
  <c r="I21" i="13"/>
  <c r="H21" i="13"/>
  <c r="G21" i="13"/>
  <c r="F21" i="13"/>
  <c r="E21" i="13"/>
  <c r="D21" i="13"/>
  <c r="C21" i="13"/>
  <c r="B21" i="13"/>
  <c r="AN20" i="13"/>
  <c r="AJ20" i="13"/>
  <c r="AI20" i="13"/>
  <c r="AH20" i="13"/>
  <c r="AG20" i="13"/>
  <c r="AF20" i="13"/>
  <c r="AE20" i="13"/>
  <c r="AD20" i="13"/>
  <c r="AC20" i="13"/>
  <c r="AB20" i="13"/>
  <c r="AA20" i="13"/>
  <c r="Z20" i="13"/>
  <c r="Y20" i="13"/>
  <c r="X20" i="13"/>
  <c r="W20" i="13"/>
  <c r="V20" i="13"/>
  <c r="U20" i="13"/>
  <c r="T20" i="13"/>
  <c r="S20" i="13"/>
  <c r="R20" i="13"/>
  <c r="Q20" i="13"/>
  <c r="P20" i="13"/>
  <c r="O20" i="13"/>
  <c r="N20" i="13"/>
  <c r="M20" i="13"/>
  <c r="L20" i="13"/>
  <c r="K20" i="13"/>
  <c r="J20" i="13"/>
  <c r="I20" i="13"/>
  <c r="H20" i="13"/>
  <c r="G20" i="13"/>
  <c r="F20" i="13"/>
  <c r="E20" i="13"/>
  <c r="D20" i="13"/>
  <c r="C20" i="13"/>
  <c r="B20" i="13"/>
  <c r="AN19" i="13"/>
  <c r="AJ19" i="13"/>
  <c r="AI19" i="13"/>
  <c r="AH19" i="13"/>
  <c r="AG19" i="13"/>
  <c r="AF19" i="13"/>
  <c r="AE19" i="13"/>
  <c r="AD19" i="13"/>
  <c r="AC19" i="13"/>
  <c r="AB19" i="13"/>
  <c r="AA19" i="13"/>
  <c r="Z19" i="13"/>
  <c r="Y19" i="13"/>
  <c r="X19" i="13"/>
  <c r="W19" i="13"/>
  <c r="V19" i="13"/>
  <c r="U19" i="13"/>
  <c r="T19" i="13"/>
  <c r="S19" i="13"/>
  <c r="R19" i="13"/>
  <c r="Q19" i="13"/>
  <c r="P19" i="13"/>
  <c r="O19" i="13"/>
  <c r="N19" i="13"/>
  <c r="M19" i="13"/>
  <c r="L19" i="13"/>
  <c r="K19" i="13"/>
  <c r="J19" i="13"/>
  <c r="I19" i="13"/>
  <c r="H19" i="13"/>
  <c r="G19" i="13"/>
  <c r="F19" i="13"/>
  <c r="E19" i="13"/>
  <c r="D19" i="13"/>
  <c r="C19" i="13"/>
  <c r="B19" i="13"/>
  <c r="AN18" i="13"/>
  <c r="AJ18" i="13"/>
  <c r="AI18" i="13"/>
  <c r="AH18" i="13"/>
  <c r="AG18" i="13"/>
  <c r="AF18" i="13"/>
  <c r="AE18" i="13"/>
  <c r="AD18" i="13"/>
  <c r="AC18" i="13"/>
  <c r="AB18" i="13"/>
  <c r="AA18" i="13"/>
  <c r="Z18" i="13"/>
  <c r="Y18" i="13"/>
  <c r="X18" i="13"/>
  <c r="W18" i="13"/>
  <c r="V18" i="13"/>
  <c r="U18" i="13"/>
  <c r="T18" i="13"/>
  <c r="S18" i="13"/>
  <c r="R18" i="13"/>
  <c r="Q18" i="13"/>
  <c r="P18" i="13"/>
  <c r="O18" i="13"/>
  <c r="N18" i="13"/>
  <c r="M18" i="13"/>
  <c r="L18" i="13"/>
  <c r="K18" i="13"/>
  <c r="J18" i="13"/>
  <c r="I18" i="13"/>
  <c r="H18" i="13"/>
  <c r="G18" i="13"/>
  <c r="F18" i="13"/>
  <c r="E18" i="13"/>
  <c r="D18" i="13"/>
  <c r="C18" i="13"/>
  <c r="B18" i="13"/>
  <c r="AN17" i="13"/>
  <c r="AJ17" i="13"/>
  <c r="AI17" i="13"/>
  <c r="AH17" i="13"/>
  <c r="AG17" i="13"/>
  <c r="AF17" i="13"/>
  <c r="AE17" i="13"/>
  <c r="AD17" i="13"/>
  <c r="AC17" i="13"/>
  <c r="AB17" i="13"/>
  <c r="AA17" i="13"/>
  <c r="Z17" i="13"/>
  <c r="Y17" i="13"/>
  <c r="X17" i="13"/>
  <c r="W17" i="13"/>
  <c r="V17" i="13"/>
  <c r="U17" i="13"/>
  <c r="T17" i="13"/>
  <c r="S17" i="13"/>
  <c r="R17" i="13"/>
  <c r="Q17" i="13"/>
  <c r="P17" i="13"/>
  <c r="O17" i="13"/>
  <c r="N17" i="13"/>
  <c r="M17" i="13"/>
  <c r="L17" i="13"/>
  <c r="K17" i="13"/>
  <c r="J17" i="13"/>
  <c r="I17" i="13"/>
  <c r="H17" i="13"/>
  <c r="G17" i="13"/>
  <c r="F17" i="13"/>
  <c r="E17" i="13"/>
  <c r="D17" i="13"/>
  <c r="C17" i="13"/>
  <c r="B17" i="13"/>
  <c r="AN16" i="13"/>
  <c r="AJ16" i="13"/>
  <c r="AI16" i="13"/>
  <c r="AH16" i="13"/>
  <c r="AG16" i="13"/>
  <c r="AF16" i="13"/>
  <c r="AE16" i="13"/>
  <c r="AD16" i="13"/>
  <c r="AC16" i="13"/>
  <c r="AB16" i="13"/>
  <c r="AA16" i="13"/>
  <c r="Z16" i="13"/>
  <c r="Y16" i="13"/>
  <c r="X16" i="13"/>
  <c r="W16" i="13"/>
  <c r="V16" i="13"/>
  <c r="U16" i="13"/>
  <c r="T16" i="13"/>
  <c r="S16" i="13"/>
  <c r="R16" i="13"/>
  <c r="Q16" i="13"/>
  <c r="P16" i="13"/>
  <c r="O16" i="13"/>
  <c r="N16" i="13"/>
  <c r="M16" i="13"/>
  <c r="L16" i="13"/>
  <c r="K16" i="13"/>
  <c r="J16" i="13"/>
  <c r="I16" i="13"/>
  <c r="H16" i="13"/>
  <c r="G16" i="13"/>
  <c r="F16" i="13"/>
  <c r="E16" i="13"/>
  <c r="D16" i="13"/>
  <c r="C16" i="13"/>
  <c r="B16" i="13"/>
  <c r="AN15" i="13"/>
  <c r="AJ15" i="13"/>
  <c r="AI15" i="13"/>
  <c r="AH15" i="13"/>
  <c r="AG15" i="13"/>
  <c r="AF15" i="13"/>
  <c r="AE15" i="13"/>
  <c r="AD15" i="13"/>
  <c r="AC15" i="13"/>
  <c r="AB15" i="13"/>
  <c r="AA15" i="13"/>
  <c r="Z15" i="13"/>
  <c r="Y15" i="13"/>
  <c r="X15" i="13"/>
  <c r="W15" i="13"/>
  <c r="V15" i="13"/>
  <c r="U15" i="13"/>
  <c r="T15" i="13"/>
  <c r="S15" i="13"/>
  <c r="R15" i="13"/>
  <c r="Q15" i="13"/>
  <c r="P15" i="13"/>
  <c r="O15" i="13"/>
  <c r="N15" i="13"/>
  <c r="M15" i="13"/>
  <c r="L15" i="13"/>
  <c r="K15" i="13"/>
  <c r="J15" i="13"/>
  <c r="I15" i="13"/>
  <c r="H15" i="13"/>
  <c r="G15" i="13"/>
  <c r="F15" i="13"/>
  <c r="E15" i="13"/>
  <c r="D15" i="13"/>
  <c r="C15" i="13"/>
  <c r="B15" i="13"/>
  <c r="AN14" i="13"/>
  <c r="AJ14" i="13"/>
  <c r="AI14" i="13"/>
  <c r="AH14" i="13"/>
  <c r="AG14" i="13"/>
  <c r="AF14" i="13"/>
  <c r="AE14" i="13"/>
  <c r="AD14" i="13"/>
  <c r="AC14" i="13"/>
  <c r="AB14" i="13"/>
  <c r="AA14" i="13"/>
  <c r="Z14" i="13"/>
  <c r="Y14" i="13"/>
  <c r="X14" i="13"/>
  <c r="W14" i="13"/>
  <c r="V14" i="13"/>
  <c r="U14" i="13"/>
  <c r="T14" i="13"/>
  <c r="S14" i="13"/>
  <c r="R14" i="13"/>
  <c r="Q14" i="13"/>
  <c r="P14" i="13"/>
  <c r="O14" i="13"/>
  <c r="N14" i="13"/>
  <c r="M14" i="13"/>
  <c r="L14" i="13"/>
  <c r="K14" i="13"/>
  <c r="J14" i="13"/>
  <c r="I14" i="13"/>
  <c r="H14" i="13"/>
  <c r="G14" i="13"/>
  <c r="F14" i="13"/>
  <c r="E14" i="13"/>
  <c r="D14" i="13"/>
  <c r="C14" i="13"/>
  <c r="B14" i="13"/>
  <c r="AN13" i="13"/>
  <c r="AJ13" i="13"/>
  <c r="AI13" i="13"/>
  <c r="AH13" i="13"/>
  <c r="AG13" i="13"/>
  <c r="AF13" i="13"/>
  <c r="AE13" i="13"/>
  <c r="AD13" i="13"/>
  <c r="AC13" i="13"/>
  <c r="AB13" i="13"/>
  <c r="AA13" i="13"/>
  <c r="Z13" i="13"/>
  <c r="Y13" i="13"/>
  <c r="X13" i="13"/>
  <c r="W13" i="13"/>
  <c r="V13" i="13"/>
  <c r="U13" i="13"/>
  <c r="T13" i="13"/>
  <c r="S13" i="13"/>
  <c r="R13" i="13"/>
  <c r="Q13" i="13"/>
  <c r="P13" i="13"/>
  <c r="O13" i="13"/>
  <c r="N13" i="13"/>
  <c r="M13" i="13"/>
  <c r="L13" i="13"/>
  <c r="K13" i="13"/>
  <c r="J13" i="13"/>
  <c r="I13" i="13"/>
  <c r="H13" i="13"/>
  <c r="G13" i="13"/>
  <c r="F13" i="13"/>
  <c r="E13" i="13"/>
  <c r="D13" i="13"/>
  <c r="C13" i="13"/>
  <c r="B13" i="13"/>
  <c r="AN12" i="13"/>
  <c r="AJ12" i="13"/>
  <c r="AI12" i="13"/>
  <c r="AH12" i="13"/>
  <c r="AG12" i="13"/>
  <c r="AF12" i="13"/>
  <c r="AE12" i="13"/>
  <c r="AD12" i="13"/>
  <c r="AC12" i="13"/>
  <c r="AB12" i="13"/>
  <c r="AA12" i="13"/>
  <c r="Z12" i="13"/>
  <c r="Y12" i="13"/>
  <c r="X12" i="13"/>
  <c r="W12" i="13"/>
  <c r="V12" i="13"/>
  <c r="U12" i="13"/>
  <c r="T12" i="13"/>
  <c r="S12" i="13"/>
  <c r="R12" i="13"/>
  <c r="Q12" i="13"/>
  <c r="P12" i="13"/>
  <c r="O12" i="13"/>
  <c r="N12" i="13"/>
  <c r="M12" i="13"/>
  <c r="L12" i="13"/>
  <c r="K12" i="13"/>
  <c r="J12" i="13"/>
  <c r="I12" i="13"/>
  <c r="H12" i="13"/>
  <c r="G12" i="13"/>
  <c r="F12" i="13"/>
  <c r="E12" i="13"/>
  <c r="D12" i="13"/>
  <c r="C12" i="13"/>
  <c r="B12" i="13"/>
  <c r="AN11" i="13"/>
  <c r="AJ11" i="13"/>
  <c r="AI11" i="13"/>
  <c r="AH11" i="13"/>
  <c r="AG11" i="13"/>
  <c r="AF11" i="13"/>
  <c r="AE11" i="13"/>
  <c r="AD11" i="13"/>
  <c r="AC11" i="13"/>
  <c r="AB11" i="13"/>
  <c r="AA11" i="13"/>
  <c r="Z11" i="13"/>
  <c r="Y11" i="13"/>
  <c r="X11" i="13"/>
  <c r="W11" i="13"/>
  <c r="V11" i="13"/>
  <c r="U11" i="13"/>
  <c r="T11" i="13"/>
  <c r="S11" i="13"/>
  <c r="R11" i="13"/>
  <c r="Q11" i="13"/>
  <c r="P11" i="13"/>
  <c r="O11" i="13"/>
  <c r="N11" i="13"/>
  <c r="M11" i="13"/>
  <c r="L11" i="13"/>
  <c r="K11" i="13"/>
  <c r="J11" i="13"/>
  <c r="I11" i="13"/>
  <c r="H11" i="13"/>
  <c r="G11" i="13"/>
  <c r="F11" i="13"/>
  <c r="E11" i="13"/>
  <c r="D11" i="13"/>
  <c r="C11" i="13"/>
  <c r="B11" i="13"/>
  <c r="AN10" i="13"/>
  <c r="AJ10" i="13"/>
  <c r="AI10" i="13"/>
  <c r="AH10" i="13"/>
  <c r="AG10" i="13"/>
  <c r="AF10" i="13"/>
  <c r="AE10" i="13"/>
  <c r="AD10" i="13"/>
  <c r="AC10" i="13"/>
  <c r="AB10" i="13"/>
  <c r="AA10" i="13"/>
  <c r="Z10" i="13"/>
  <c r="Y10" i="13"/>
  <c r="X10" i="13"/>
  <c r="W10" i="13"/>
  <c r="V10" i="13"/>
  <c r="U10" i="13"/>
  <c r="T10" i="13"/>
  <c r="S10" i="13"/>
  <c r="R10" i="13"/>
  <c r="Q10" i="13"/>
  <c r="P10" i="13"/>
  <c r="O10" i="13"/>
  <c r="N10" i="13"/>
  <c r="M10" i="13"/>
  <c r="L10" i="13"/>
  <c r="K10" i="13"/>
  <c r="J10" i="13"/>
  <c r="I10" i="13"/>
  <c r="H10" i="13"/>
  <c r="G10" i="13"/>
  <c r="F10" i="13"/>
  <c r="E10" i="13"/>
  <c r="D10" i="13"/>
  <c r="C10" i="13"/>
  <c r="B10" i="13"/>
  <c r="AN9" i="13"/>
  <c r="AJ9" i="13"/>
  <c r="AI9" i="13"/>
  <c r="AH9" i="13"/>
  <c r="AG9" i="13"/>
  <c r="AF9" i="13"/>
  <c r="AE9" i="13"/>
  <c r="AD9" i="13"/>
  <c r="AC9" i="13"/>
  <c r="AB9" i="13"/>
  <c r="AA9" i="13"/>
  <c r="Z9" i="13"/>
  <c r="Y9" i="13"/>
  <c r="X9" i="13"/>
  <c r="W9" i="13"/>
  <c r="V9" i="13"/>
  <c r="U9" i="13"/>
  <c r="T9" i="13"/>
  <c r="S9" i="13"/>
  <c r="R9" i="13"/>
  <c r="Q9" i="13"/>
  <c r="P9" i="13"/>
  <c r="O9" i="13"/>
  <c r="N9" i="13"/>
  <c r="M9" i="13"/>
  <c r="L9" i="13"/>
  <c r="K9" i="13"/>
  <c r="J9" i="13"/>
  <c r="I9" i="13"/>
  <c r="H9" i="13"/>
  <c r="G9" i="13"/>
  <c r="F9" i="13"/>
  <c r="E9" i="13"/>
  <c r="D9" i="13"/>
  <c r="C9" i="13"/>
  <c r="B9" i="13"/>
  <c r="AN8" i="13"/>
  <c r="AJ8" i="13"/>
  <c r="AI8" i="13"/>
  <c r="AH8" i="13"/>
  <c r="AG8" i="13"/>
  <c r="AF8" i="13"/>
  <c r="AE8" i="13"/>
  <c r="AD8" i="13"/>
  <c r="AC8" i="13"/>
  <c r="AB8" i="13"/>
  <c r="AA8" i="13"/>
  <c r="Z8" i="13"/>
  <c r="Y8" i="13"/>
  <c r="X8" i="13"/>
  <c r="W8" i="13"/>
  <c r="V8" i="13"/>
  <c r="U8" i="13"/>
  <c r="T8" i="13"/>
  <c r="S8" i="13"/>
  <c r="R8" i="13"/>
  <c r="Q8" i="13"/>
  <c r="P8" i="13"/>
  <c r="O8" i="13"/>
  <c r="N8" i="13"/>
  <c r="M8" i="13"/>
  <c r="L8" i="13"/>
  <c r="K8" i="13"/>
  <c r="J8" i="13"/>
  <c r="I8" i="13"/>
  <c r="H8" i="13"/>
  <c r="G8" i="13"/>
  <c r="F8" i="13"/>
  <c r="E8" i="13"/>
  <c r="D8" i="13"/>
  <c r="C8" i="13"/>
  <c r="B8" i="13"/>
  <c r="AM10" i="13" l="1"/>
  <c r="AO10" i="13" s="1"/>
  <c r="AM12" i="13"/>
  <c r="AO12" i="13" s="1"/>
  <c r="AM14" i="13"/>
  <c r="AO14" i="13" s="1"/>
  <c r="AM16" i="13"/>
  <c r="AO16" i="13" s="1"/>
  <c r="AM18" i="13"/>
  <c r="AO18" i="13" s="1"/>
  <c r="AM20" i="13"/>
  <c r="AO20" i="13" s="1"/>
  <c r="AM22" i="13"/>
  <c r="AO22" i="13" s="1"/>
  <c r="AM9" i="13"/>
  <c r="AO9" i="13" s="1"/>
  <c r="AM11" i="13"/>
  <c r="AO11" i="13" s="1"/>
  <c r="AM13" i="13"/>
  <c r="AO13" i="13" s="1"/>
  <c r="AM15" i="13"/>
  <c r="AO15" i="13" s="1"/>
  <c r="AM17" i="13"/>
  <c r="AO17" i="13" s="1"/>
  <c r="AM19" i="13"/>
  <c r="AO19" i="13" s="1"/>
  <c r="AM21" i="13"/>
  <c r="AO21" i="13" s="1"/>
  <c r="AM23" i="13"/>
  <c r="AO23" i="13" s="1"/>
  <c r="Q24" i="13"/>
  <c r="AM24" i="13" s="1"/>
  <c r="AO24" i="13" s="1"/>
  <c r="AM25" i="13"/>
  <c r="AO25" i="13" s="1"/>
  <c r="AM8" i="13"/>
  <c r="AO8" i="13" s="1"/>
  <c r="Q10" i="1"/>
  <c r="AN7" i="13"/>
  <c r="AJ7" i="13"/>
  <c r="AI7" i="13"/>
  <c r="AH7" i="13"/>
  <c r="AG7" i="13"/>
  <c r="AF7" i="13"/>
  <c r="AE7" i="13"/>
  <c r="AD7" i="13"/>
  <c r="AC7" i="13"/>
  <c r="AB7" i="13"/>
  <c r="AA7" i="13"/>
  <c r="Z7" i="13"/>
  <c r="Y7" i="13"/>
  <c r="X7" i="13"/>
  <c r="W7" i="13"/>
  <c r="V7" i="13"/>
  <c r="U7" i="13"/>
  <c r="T7" i="13"/>
  <c r="S7" i="13"/>
  <c r="R7" i="13"/>
  <c r="Q7" i="13"/>
  <c r="P7" i="13"/>
  <c r="O7" i="13"/>
  <c r="N7" i="13"/>
  <c r="M7" i="13"/>
  <c r="L7" i="13"/>
  <c r="K7" i="13"/>
  <c r="J7" i="13"/>
  <c r="I7" i="13"/>
  <c r="H7" i="13"/>
  <c r="G7" i="13"/>
  <c r="F7" i="13"/>
  <c r="E7" i="13"/>
  <c r="D7" i="13"/>
  <c r="C7" i="13"/>
  <c r="B7" i="13"/>
  <c r="AN6" i="13"/>
  <c r="AJ6" i="13"/>
  <c r="AI6" i="13"/>
  <c r="AH6" i="13"/>
  <c r="AG6" i="13"/>
  <c r="AF6" i="13"/>
  <c r="AE6" i="13"/>
  <c r="AD6" i="13"/>
  <c r="AC6" i="13"/>
  <c r="AB6" i="13"/>
  <c r="AA6" i="13"/>
  <c r="Z6" i="13"/>
  <c r="Y6" i="13"/>
  <c r="X6" i="13"/>
  <c r="W6" i="13"/>
  <c r="V6" i="13"/>
  <c r="U6" i="13"/>
  <c r="T6" i="13"/>
  <c r="S6" i="13"/>
  <c r="R6" i="13"/>
  <c r="Q6" i="13"/>
  <c r="P6" i="13"/>
  <c r="O6" i="13"/>
  <c r="N6" i="13"/>
  <c r="M6" i="13"/>
  <c r="L6" i="13"/>
  <c r="K6" i="13"/>
  <c r="J6" i="13"/>
  <c r="I6" i="13"/>
  <c r="H6" i="13"/>
  <c r="G6" i="13"/>
  <c r="F6" i="13"/>
  <c r="E6" i="13"/>
  <c r="D6" i="13"/>
  <c r="C6" i="13"/>
  <c r="B6" i="13"/>
  <c r="A6" i="13"/>
  <c r="AM6" i="13" l="1"/>
  <c r="AO6" i="13" s="1"/>
  <c r="AM7" i="13"/>
  <c r="AO7" i="13" s="1"/>
  <c r="AB180" i="13"/>
  <c r="P180" i="13"/>
  <c r="D180" i="13"/>
  <c r="AE180" i="13"/>
  <c r="S180" i="13"/>
  <c r="G180" i="13"/>
  <c r="AH180" i="13"/>
  <c r="V180" i="13"/>
  <c r="J180" i="13"/>
  <c r="Y180" i="13"/>
  <c r="M180" i="13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AM4" i="13" l="1"/>
  <c r="AN4" i="13" s="1"/>
  <c r="R17" i="7"/>
  <c r="AO178" i="13"/>
  <c r="D181" i="13"/>
  <c r="AM180" i="13"/>
  <c r="L8" i="1"/>
  <c r="AH181" i="13" s="1"/>
  <c r="K8" i="1"/>
  <c r="AE181" i="13" s="1"/>
  <c r="J8" i="1"/>
  <c r="AB181" i="13" s="1"/>
  <c r="I8" i="1"/>
  <c r="Y181" i="13" s="1"/>
  <c r="H8" i="1"/>
  <c r="V181" i="13" s="1"/>
  <c r="G8" i="1"/>
  <c r="S181" i="13" s="1"/>
  <c r="F8" i="1"/>
  <c r="P181" i="13" s="1"/>
  <c r="E8" i="1"/>
  <c r="M181" i="13" s="1"/>
  <c r="D8" i="1"/>
  <c r="J181" i="13" s="1"/>
  <c r="C8" i="1"/>
  <c r="G181" i="13" s="1"/>
  <c r="D11" i="1"/>
  <c r="E11" i="1" s="1"/>
  <c r="E12" i="1"/>
  <c r="F12" i="1" s="1"/>
  <c r="G12" i="1" s="1"/>
  <c r="H12" i="1" s="1"/>
  <c r="I12" i="1" s="1"/>
  <c r="J12" i="1" s="1"/>
  <c r="K12" i="1" s="1"/>
  <c r="L12" i="1" s="1"/>
  <c r="M12" i="1" s="1"/>
  <c r="N12" i="1" s="1"/>
  <c r="O12" i="1" s="1"/>
  <c r="P12" i="1" s="1"/>
  <c r="Q12" i="1" s="1"/>
  <c r="D13" i="1"/>
  <c r="E13" i="1" s="1"/>
  <c r="F13" i="1" s="1"/>
  <c r="G13" i="1" s="1"/>
  <c r="H13" i="1" s="1"/>
  <c r="I13" i="1" s="1"/>
  <c r="J13" i="1" s="1"/>
  <c r="K13" i="1" s="1"/>
  <c r="L13" i="1" s="1"/>
  <c r="M13" i="1" s="1"/>
  <c r="N13" i="1" s="1"/>
  <c r="O13" i="1" s="1"/>
  <c r="P13" i="1" s="1"/>
  <c r="Q13" i="1" s="1"/>
  <c r="M8" i="1"/>
  <c r="N8" i="1"/>
  <c r="O8" i="1"/>
  <c r="P8" i="1"/>
  <c r="Q8" i="1"/>
  <c r="C9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 l="1"/>
  <c r="D16" i="1"/>
  <c r="R8" i="1"/>
  <c r="AN180" i="13" s="1"/>
  <c r="AO180" i="13" s="1"/>
  <c r="E16" i="1"/>
  <c r="F11" i="1"/>
  <c r="G11" i="1" l="1"/>
  <c r="F16" i="1"/>
  <c r="G16" i="1" l="1"/>
  <c r="H11" i="1"/>
  <c r="I11" i="1" l="1"/>
  <c r="H16" i="1"/>
  <c r="I16" i="1" l="1"/>
  <c r="J11" i="1"/>
  <c r="K11" i="1" l="1"/>
  <c r="J16" i="1"/>
  <c r="K16" i="1" l="1"/>
  <c r="L11" i="1"/>
  <c r="M11" i="1" l="1"/>
  <c r="L16" i="1"/>
  <c r="M16" i="1" l="1"/>
  <c r="N11" i="1"/>
  <c r="O11" i="1" l="1"/>
  <c r="N16" i="1"/>
  <c r="O16" i="1" l="1"/>
  <c r="P11" i="1"/>
  <c r="Q11" i="1" l="1"/>
  <c r="Q16" i="1" s="1"/>
  <c r="P16" i="1"/>
  <c r="O29" i="23"/>
  <c r="O68" i="23" s="1"/>
  <c r="O27" i="23" l="1"/>
  <c r="K29" i="23"/>
  <c r="K68" i="23" s="1"/>
  <c r="R17" i="23"/>
  <c r="R69" i="23" s="1"/>
  <c r="Q17" i="23"/>
  <c r="Q69" i="23" s="1"/>
  <c r="Q15" i="23"/>
  <c r="Q16" i="23"/>
  <c r="Q67" i="23" s="1"/>
  <c r="R16" i="23"/>
  <c r="R67" i="23" s="1"/>
  <c r="R15" i="23"/>
  <c r="R29" i="23"/>
  <c r="R68" i="23" s="1"/>
  <c r="Q29" i="23"/>
  <c r="Q68" i="23" s="1"/>
  <c r="R27" i="23"/>
  <c r="Q27" i="23" l="1"/>
  <c r="R18" i="14"/>
  <c r="R37" i="14" s="1"/>
  <c r="Q18" i="14"/>
  <c r="Q37" i="14" s="1"/>
  <c r="R16" i="14"/>
  <c r="R34" i="14" s="1"/>
  <c r="Q16" i="14" l="1"/>
  <c r="Q34" i="14" s="1"/>
  <c r="L24" i="14"/>
  <c r="L36" i="14" s="1"/>
  <c r="O22" i="14" l="1"/>
  <c r="O24" i="14"/>
  <c r="O36" i="14" s="1"/>
</calcChain>
</file>

<file path=xl/sharedStrings.xml><?xml version="1.0" encoding="utf-8"?>
<sst xmlns="http://schemas.openxmlformats.org/spreadsheetml/2006/main" count="1082" uniqueCount="572">
  <si>
    <t>Цех 1</t>
  </si>
  <si>
    <t>Цех 2</t>
  </si>
  <si>
    <t>Цех 3</t>
  </si>
  <si>
    <t>Цех 4</t>
  </si>
  <si>
    <t>Цех 5</t>
  </si>
  <si>
    <t>Цех 6</t>
  </si>
  <si>
    <t>Всего по ИП</t>
  </si>
  <si>
    <t>Итого</t>
  </si>
  <si>
    <t>Нарастающим итогом</t>
  </si>
  <si>
    <t>Сокращение потерь добычи, тыс. руб.</t>
  </si>
  <si>
    <t>Сокращение потерь добычи, тн</t>
  </si>
  <si>
    <t>ППНЭ</t>
  </si>
  <si>
    <t>ПИР</t>
  </si>
  <si>
    <t>Цех №1</t>
  </si>
  <si>
    <t>Повышение надежности электроснабжения ЦП ПС 110/35/6 кВ Подгорная</t>
  </si>
  <si>
    <t>Повышение надежности электроснабжения участка ВЛ-35 кВ Восточная-Сидоровка-Сидоровка-3. Разукрупнение транзита  ЦП ПС 110/35/6 кВ УКПН-2 до ПС 110/35/6 кВ Козловская с питанием ПС 35/6 кВ (&gt; 5 шт.). Разгрузка ЦП ПС 110/35/6 кВ Мухановская, 110/35/6 кВ УКПН-2. Перевод нагрузок  ПС 35/6 кВ Восточная Т-2-Т, ПС 35/6 кВ Дачная на ПС 110/35/6 кВ Тимашевская</t>
  </si>
  <si>
    <t>Развитие электроснабжения группы Ю-Неприковского месторождения</t>
  </si>
  <si>
    <t>Электроснабжение потребителей группы Митяевского месторождения.</t>
  </si>
  <si>
    <t>Повышение надежности электроснабжения потребителей ПС 35/6 кВ по результатам оценки надежности и аварийности</t>
  </si>
  <si>
    <t>СМР</t>
  </si>
  <si>
    <t>Физ. объем</t>
  </si>
  <si>
    <t xml:space="preserve">Запланированный физический объем </t>
  </si>
  <si>
    <t>Проверка</t>
  </si>
  <si>
    <t>Включ. в ИП</t>
  </si>
  <si>
    <t>Цех №2</t>
  </si>
  <si>
    <t>Повышение надёжности электроснабжения потребителей и разгрузка центров питания Нефтегорская-1 и Нефтегорская-2. Строительство нового центра питания Грековская.</t>
  </si>
  <si>
    <t>Повышение надёжности электроснабжения потребителей и разгрузка центров питания Просвет 220/110/10 кВ и ПС 110/35/6 кВ Бариновская. Строительство нового центра питания Коммунарская</t>
  </si>
  <si>
    <t xml:space="preserve"> Повышение надёжности электроснабжения потребителей и разгрузка центров питания Просвет 220/110/10 кВ и ПС 110/35/6 кВ Бариновская. Общая часть мероприятий по ПС 35/6 кВ СНГ в случае реализации одного из принятых вариантов строительства ПС 110/35/6 кВ Коммунарская" и ПС 110/35/6 кВ Чаганская"</t>
  </si>
  <si>
    <t>Цех №3</t>
  </si>
  <si>
    <t>Повышение надежности электроснабжения потребителей питающего центра ПС 110 кВ Козловская</t>
  </si>
  <si>
    <t>Повышение надежности электроснабжения потребителей питающего центра ПС 110 кВ Радаевская</t>
  </si>
  <si>
    <t xml:space="preserve">Повышение надежности электроснабжения ПС 35 кВ ФНС, Обошинская, Якушкинская, Орлянская, КНС за счет создания второго источника питания - ПС 110 кВ Козловская </t>
  </si>
  <si>
    <t>Строительство новой ПС - нового ЦП 35 кВ для электроснабжения Южно-Орловского м/р</t>
  </si>
  <si>
    <t>Электроснабжение Киргизовской группы  месторождений</t>
  </si>
  <si>
    <t>Повышение надежности электроснабжения ПС 35 кВ Ивановская, Малиновская</t>
  </si>
  <si>
    <t>Повышение надежности электроснабжения ЦП ПС 110/35/6 кВ Красногородецкая, потребителей ПС 35/6 кВ Боровская, ПС 35/6 кВ Смагинская</t>
  </si>
  <si>
    <t>Цех №4</t>
  </si>
  <si>
    <t>Повышение надежности электроснабжения потребителей ЦП 110/35/6 кВ: ПС 35/6 кВ Стрельная</t>
  </si>
  <si>
    <t>Цех №5</t>
  </si>
  <si>
    <t>Цех №6</t>
  </si>
  <si>
    <t xml:space="preserve">Замена ОД-КЗ на ЭВ - 2 шт; разъединители 110 кВ -4 шт. 1000 А. </t>
  </si>
  <si>
    <t xml:space="preserve">строительство 2-й сш. 6 кВ, и замена ЗРУ-6 кВ 47 ячеек. </t>
  </si>
  <si>
    <t xml:space="preserve">Оборудование устройствами автоматики АПВ линии </t>
  </si>
  <si>
    <t xml:space="preserve"> Замена:
  систем ОД-КЗ на элегазовые выключатели - 2 шт.
разъединителей 110 кВ -6 шт., 1000 А.
ТОЛ-110, ОПН-110 кВ. </t>
  </si>
  <si>
    <t>Установка ВВ-35 кВ - 8 шт
ЭВ - 2 шт. 1000 А.</t>
  </si>
  <si>
    <t>Установка БСК– 0,4 Мвар на I СШ 6 кВ, и 1,2 Мвар на II СШ 6 кВ.</t>
  </si>
  <si>
    <t xml:space="preserve">Замена Т-1-Т, Т-2-Т 2х25000 кВА </t>
  </si>
  <si>
    <t>Установка:                                                                                    Замена систем ОД-КЗ на элегазовые выключатели - 2 шт., 1000 А.</t>
  </si>
  <si>
    <t>Замена:
 Т-1-Т 35/6 кВ с  РПН, тип - ТМН  -1 шт.</t>
  </si>
  <si>
    <t xml:space="preserve"> Замена:
  Т-1-Т 4000 кВА - 1 шт.</t>
  </si>
  <si>
    <t>Установка:                                                                                                  РУ-6 кВ- 1 шт.                                                                        МВ-35 кВ - 5 шт.                                                             СТ - 2 шт. 6300 кВА</t>
  </si>
  <si>
    <t>Установка:                                                                                 КРУН-6 кВ - 18 ячеек</t>
  </si>
  <si>
    <t>КРУН-6 кВ</t>
  </si>
  <si>
    <t>Установка Т-2-Т 35/6 кВ 4000 кВА - 1шт.; Реконструкция ОРУ-35 кВ. Схема - 35-5Н.     ВВ-35 кВ - 2 шт. 1000 А 
Сооружение ВЛ 35 кВ 4,7 км АС-95</t>
  </si>
  <si>
    <t>Замена:
 МВ-35 на ВВ-35- 4шт. 1000 А</t>
  </si>
  <si>
    <t>Замена:Т-1,2-Т 2х4000 кВА</t>
  </si>
  <si>
    <t>Замена: Т-1-Т 4000 кВА - 1 шт.</t>
  </si>
  <si>
    <t xml:space="preserve">Замена РУ-6 кВ К-59 </t>
  </si>
  <si>
    <t xml:space="preserve">
Замена Т-1,2-Т, МВ-35 кВ на ВВ-35 кВ - 7 шт.
Установка БСК– 0,4 Мвар на I СШ 6 кВ, и 0,45 Мвар на II СШ 6 кВ.</t>
  </si>
  <si>
    <t>Реконструкция ПС в 2-х трансформаторную.
Т-2-Т 35/6 кВ мощностью 2500 кВА - 1 шт. СВВ-35 кВ - 1 шт., ВВ-35 кВ - 1 шт. 1000 А 
ОРУ-35 по схеме 35-5Н. КРУН-6 кВ 2 секции</t>
  </si>
  <si>
    <t>Установка Т-2-Т 1х4000 кВА . 
Замена Т-1-Т 1х4000 кВА 
ВВ-35 кВ - 1000 А - 2 шт.</t>
  </si>
  <si>
    <t>Кап. ремонт Т-1-Т; замена Т-2-Т на новый 4000 кВА</t>
  </si>
  <si>
    <t>Замена Т-1,2-Т. 2х25 МВА.</t>
  </si>
  <si>
    <t xml:space="preserve">Реконструкция ОРУ-35 кВ в схему 35-9 с установкой новых ячеек ВВ-35 кВ - 2 шт., 1000 А. </t>
  </si>
  <si>
    <t xml:space="preserve">Строительство отпайки ВЛ-35 кВ до ВЛ-35 кВ Сидоровка - 2*12 км. Установка блока реклоузера - 1 шт. </t>
  </si>
  <si>
    <t>Строительство:
Т-1-Т, Т-2-Т 35/6 кВ 6300 кВА - 2шт.
ОРУ- 35 кВ 35-5Н, РУ-6 кВ - две сш.</t>
  </si>
  <si>
    <t>Реконструкция РУ 6 кВ</t>
  </si>
  <si>
    <t xml:space="preserve">Замена Т-1-Т, Т-2-Т 35/6 кВ 4000 кВА - 2шт. Реконструкция ОРУ-35 кВ. Схема - 35-5Н. ВВ-35 кВ - 1 шт. 1000 А. Заход ВЛ 35 кВ Неприк-1 длиной ~0,1 км АС-95 на РУ 35 кВ ПС Елховская с ликвидацией отпайки. </t>
  </si>
  <si>
    <t>Реконструкция ОРУ-35 кВ. Схема - 35-4Н. КРУН-6 кВ минимум 8 ячеек на две сш.</t>
  </si>
  <si>
    <t>Т-1-Т, Т-2-Т35/6 кВ 4000 кВА - 2шт. Организация ОРУ 35 по схеме 35-5Н. ВВ-35 кВ - 1000 А - 1 шт.</t>
  </si>
  <si>
    <t>Замена:
Т-1-Т, Т-2-Т 6300 кВА - 2 шт.</t>
  </si>
  <si>
    <t>Монтаж АВР 6кВ</t>
  </si>
  <si>
    <t>Дистанционное управление выключателями 110 кВ. Оборудование разъединителя ремонтной перемычки моторным приводом с дистанционным управлением.</t>
  </si>
  <si>
    <t>Замена Т-1-Т, МВ-35 кВ на ВВ-35 кВ</t>
  </si>
  <si>
    <t>Сооружение ПП-35 кВ с установкой реклоузера на сооружаемом участке ВЛ-35 кВ. Строительство ВЛ-35 3 км. Установка Т-2-Т 1х1600 кВА. Реконструкция ОРУ-35 кВ. Схема - 35-5Н. ВВ-35 кВ - 2 шт. 1000 А. Сооружение отпайки от ВЛ-35 кВ «Ключевская» на ПС 35/6 кВ «В.Кохановская» длиной ~ 3 км АС-95</t>
  </si>
  <si>
    <t>Замена: Т-2-Т 35/6 кВ с РПН, тип - ТМН, мощностью 4000 кВА  -1 шт.                                                                             Замена ЛР-35-10 шт.  
 Замена РУ- 6кВ</t>
  </si>
  <si>
    <t xml:space="preserve">Двухтрансформаторная ПС -1 шт.   
Установка Т-1-Т, Т-2-Т 2*ТМН-6300/35-У1** с РПН в пределах 35±.4х2,5%..  
Строительство ЛЭП 110 кВ - 23 км.                                                              
Строительство РУ по схеме 35-9
Установка ВВ-35 кВ-1000 А - 6 шт +1 (присоединение к ПС Кудиновская); СВВ-35 кВ - 1000 А - 1 шт. </t>
  </si>
  <si>
    <t>Строительство КРУН-6 кВ ВВ - 14яч.</t>
  </si>
  <si>
    <t>Установка Т-1,2-Т ТМН-6300/35-У1 - 2 шт.
Установка ВВ-35 кВ-1000 - 3 шт
Строительство РУ по схеме 35-5АН
Строительство ВЛ-35 кВ АС-95 - 6,5 км
Строительство КРУН 6 кВ - 12 яч. Монтаж АВР 35кВ.
Ликвидация ПС Красносамарская</t>
  </si>
  <si>
    <t xml:space="preserve">Установка СТ 110/35/6 кВ 25000 кВА - 2 шт. (ТДТН-25000/110/35/6 У1 с АРН и РПН) Установка ЭВ -1000 А -  3 шт., ВВ-35 кВ - 1000 А - 6 шт., СВВ-35 кВ - 1000 А - 1 шт.  </t>
  </si>
  <si>
    <t xml:space="preserve">   Замена ячеек 6 кВ -14 шт.</t>
  </si>
  <si>
    <t xml:space="preserve">
Строительство  двухцепной ВЛ-110 кВ - АС-120 - 2х55 км. 
Строительство ВЛ 35 кВ - АС-95 - 26 км.   
Установка дополнительных блоков ЭВ-110 кВ - 1000 А - 2 шт. для присоединения к ПС Южная (МЭС "Волги").       
 Сооружение РУ 110 кВ по схеме 110-5АН, 
Сооружение РУ 35 кВ по схеме 35-9</t>
  </si>
  <si>
    <t>Замена Т-1-Т 35/6 кВ с АРН и РПН, тип - ТМН мощностью 4000 - 1 шт.</t>
  </si>
  <si>
    <t>Установка доп. блоков ВВ-35 кВ - 1000 А - 2 шт. Реконструкция(существующая схема ОРУ-35 кВ «35-5АН» - Расширение ОРУ-35 кВ с монтажом: 
- блока Б35-61 с ТН-35 кВ (1 шт.) с ВВ-35 кВ с пружинно-моторным приводом с подключением ВЛ-35 кВ «Ветлянка-3» (ВПО МРСК); - блока Б35-57 (2 шт.) с ВВ-35 кВ с пружинно-моторным приводом для подключения новой одноцепной ВЛ-35 кВ от портала ВЛ-35 кВ «Ветлянка-3» (ОАО «Самаранефтегаз») и подключения существующей ВЛ-35 кВ «Ветлянка-1».</t>
  </si>
  <si>
    <t xml:space="preserve"> Замена Т-1-Т, Т-2-Т  25000 кВА - 2 шт. на СТ  мощностью 40000 (32000) кВА ,
 Замена ЭВ-110 кВ 1000 А -2 шт.
 Замена РР-110-2 шт. и  СР-110-2 шт.,
Замена ТТ-110-9 шт. и ТН-110-6 шт. 
Замена ТН-35 - 6 шт.
Установка БСК</t>
  </si>
  <si>
    <t>Установка 2-го СТ: Т-2-Т мощностью 4000 кВА
Строительство 2 секции 35 и 6 кВ -   1 шт.
Установка ВВ 35 кВ - 1000 А - 2 шт.
Установка дополнительных ячеек КРУН 6 кВ - 12 шт.</t>
  </si>
  <si>
    <t xml:space="preserve">Замена: 
Блок СВВ-35 кВ - 1 шт.
Блок ВВ-35 кВ - 3 шт.
КРУН-6 кВ - 20 ячеек
Строительство ВЛ 35 кВ - АС-95 - 5 км
Установка ВВ 35 кВ - 1000 А - 1 шт.
Монтаж АВР 6кВ </t>
  </si>
  <si>
    <t>Установка 2-го СТ: Т-2-Т мощностью 4000 кВА
Строительство 2-й секции 35 и 6 кВ -  1 шт.
Установка ВВ 35 кВ - 1000 А - 2 шт.
Установка дополнительных ячеек КРУН 6 кВ - 4 шт.
Строительство ВЛ 35 кВ - АС-95 - 2 км.</t>
  </si>
  <si>
    <t>Установка  Т-1,2-Т 35/6 кВ 6300 кВА - 2 шт.; 
Установка ВВ-35 кВ - 1000 А- 3 шт. 
Строительство РУ по схеме 35-5Н
Строительство ВЛ 35 кВ - АС-95 - 5 км
Строительство КРУН - 6 кВ - ВВ - 12 яч.</t>
  </si>
  <si>
    <t>Замена
КРУН-6 кВ - 14 ячеек</t>
  </si>
  <si>
    <t>Замена Т-1-Т 35/6 кВ мощностью 4000 кВА  -1 шт.</t>
  </si>
  <si>
    <t>Замена ячеек  6 кВ 14 шт.
Монтаж АВР 6кВ</t>
  </si>
  <si>
    <t>Замена АТ 220/110/10 кВ 2*200 МВА - 2 шт.</t>
  </si>
  <si>
    <t>Установка:
СТ 110/35/6 кВ 16000 кВА - 2 шт.
ЭВ-110 кВ - 1000 А - 3 шт;
 ВВ-35 кВ - 1000 А - 4 + 1 шт. (присоединение ПС Чаганская); СВВ - 35 кВ - 1000 А - 1шт.
Установка дополнительных блоков ЭВ-110 кВ - 1000 А - 2 шт. для присоединения к ПС Комсомолец (МЭС "Волги")..                                                  
 Сооружение:
РУ 110 кВ по схеме 110-5АН. 
РУ 35 кВ по схеме мостик 35-9, КРУН-6 кВ
Строительство:
Двухцепная ВЛ 110 кВ - АС-120 - 2х17,5 км + 2х0,5 км ВЛ 110 кВ в габаритах 220 кВ
ВЛ 35 кВ - АС-95 - 0,5 км</t>
  </si>
  <si>
    <t>Установка 2-го Т-2-Т 35/6 кВ  6300 кВА - 2шт.  
Установка ВВ-35 кВ - 1000 А - 3 шт. + 1 (присоединение к ПС Субботинская)
Сооружение РУ по схеме мостик (35-5Н)
Строительство ВЛ 35 кВ - АС-95 - 7,3 км
Монтаж АВР 6кВ
Замена ячееек 6 кВ - 14 шт.</t>
  </si>
  <si>
    <t xml:space="preserve"> 2-хтрансформаторная ПС - 1 шт. 
Установка Т-1,2-Т 35/6 кВ 6300 кВА - 2 шт.                                                      
Установка ВВ-35 кВ 1000 А - 3 шт.
Сооружение РУ по схеме мостик (35-5Н)</t>
  </si>
  <si>
    <t>Строительство ВЛ 35 кВ - АС-95 - 8 км
Установка АВР 35 и 6 кВ</t>
  </si>
  <si>
    <t>Замена:
ВВ-35 кВ - 4 шт, СВВ-35 кВ - 1шт., 
КРУН-6 кВ - 24 яч.
 1СШ 6 кВ - 0,9 Мвар, 2СШ 6 кВ - 2,25 Мвар
 замена СТ 35/6 кВ 2х4000 кВА. строительство двуцепной ВЛ-35 кВ до ПС 110\35/6 Козловская, АС-95</t>
  </si>
  <si>
    <t>Установка 2*ТДТН-25000110//35/6 с РПН вакуумного типа. Длина по периметру 400 м</t>
  </si>
  <si>
    <t xml:space="preserve">Реконструкция:
 ОРУ-110 кВ ПС Козловская по схеме 110-9Н с установкой ЭВ-110 кВ - 6 шт.
ОРУ-35 кВ ПС Козловская по схеме 35-9 с установкой ВВ-35 кВ - 1 шт.
 Строительство ВЛ-110 кВ Козловская-Калиновый Ключ 16 км, АС-120;  ВЛ-35кВ Козловская - Южно-Орловская 46,5 км, АС-95. </t>
  </si>
  <si>
    <t xml:space="preserve"> Замена:
Т-1-Т 4000 кВА - 1 шт.
Блок ВВ-35 кВ - 1 шт. </t>
  </si>
  <si>
    <t xml:space="preserve">Реконструкция ОРУ-35 кВ по схеме 35-9 с установкой ВВ-35кВ 1000А - 5 шт. 
Установка на ПС 35/6 Орлянская Т-1,2-Т 35/6 4000 кВА - 2 шт.
Монтаж АВР 6кВ. Организация захода ВЛ-35 Козловская на ПС Орлянская с целью ликвидации отпайки 0,1 км., АС-95 </t>
  </si>
  <si>
    <t>Замена выключателей ВВ-35 кВ 1000А - 2 шт.</t>
  </si>
  <si>
    <t xml:space="preserve"> Замена:
 СТ Т-1-Т 2500 кВА - 1 шт.</t>
  </si>
  <si>
    <t>Замена:
 Т-1-Т 2500 кВА - 1 шт.
КРУН-6 кВ (7ячеек);
блок МВ-35 кВ на блок ВВ-35 кВ - 1 шт;
ТН-35 кВ - 1 компл.</t>
  </si>
  <si>
    <t>Замена систем ОД-КЗ на ЭВ-110 кВ 1000А  - 2 шт.</t>
  </si>
  <si>
    <t xml:space="preserve"> КТПБ-35/6 кВ - 1 шт., Т-1,2-Т4000 кВА - 2 шт.
ВВ-35 Т-1,2-Т - 2 шт.
Строительство 2-й ВЛ-35 кВ длиной 7 км от ПС 110/35/6 кВ  "Козловская", установка на ПС 110/35/6 кВ "Козловская" блока ВВ-35 -1 шт.)</t>
  </si>
  <si>
    <t>Замена систем ОД-КЗ на ЭВ110 кВ. - 2 шт.  
Реконструкция: ОРУ 110 кВ по схеме 110-9 с установкой  ЭВ-110 кВ -6  шт., 1000 А;
Расширение ОРУ-110 кВ на ПС 220 Серноводская с установкой ЭВ-110 кВ - 1 шт.
Строительсво ВЛ-110кВ Радаевская - Серноводская 23 км, АС-120.</t>
  </si>
  <si>
    <t>Змена:
 Т-1-Т  - 1 шт., 35/6 кВ 4000 кВА с устройством АРН и РПН. ВВ-35 кВ 1 шт.</t>
  </si>
  <si>
    <t>Реконструкция ОРУ-35 кВ по схеме 35-5Н с установкой  ВВ-35 кВ 1000А - 3 шт.
Заходы 35 кВ 2*0,2 км, АС-95</t>
  </si>
  <si>
    <t xml:space="preserve"> Оснащение БСК: 1СШ6кВ - 0,9 Мвар,
 2СШ6кВ - 0,6 Мвар. </t>
  </si>
  <si>
    <t>Строительство:
КТПБ-35/6 кВ - 1 шт.; Т-1,2-Т 2*4000 кВА; 
ОРУ-35 кВ по схеме 35-5Н с установкой ВВ-35 кВ 1000А - 3 шт.
ОРУ-35 кВ ПС 35/6 кВ Екатериновская - установка ячейки ВВ-35 кВ 1000А - 1 шт.
ВЛ-35 кВ  46,5 км, ВЛ-35 кВ 18 км.</t>
  </si>
  <si>
    <t xml:space="preserve">Строительство  заходов на ВЛ-35 кВ Черный Ключ-2 5 км (МРСК)  и ВЛ-35 кВ Денискино (МРСК).      Установка 2-х реклоузеров в местах подключения к ВЛ-Черный Ключ-2 и Денискино (МСРК)  </t>
  </si>
  <si>
    <t xml:space="preserve">Установка Т-1,2-Т 35/6 кВ 2500 кВА - 2 шт;
ОРУ по схеме 35-5Н с установкой  ВВ-35кВ 1000А - 3шт. На ПС Елховка реконструкция ОРУ-35 кВ по схеме 35-5Н с установкой ВВ-35 кВ 1000А - 3 шт. Строительство ВЛ-35 кВ Ивановская - Елховка 20 км, АС 95. </t>
  </si>
  <si>
    <t>Установка блоков ВВ-35 кВ - 4 шт, блока СВВ-35 кВ -1 шт., ТН-35 - 2шт., СТ 4000 кВА -2 шт., реконструкция ОРУ-35 в схему  "мостик с ВВ в цепях линий и СТ без ремонтной перемычки" двухсекционного РУ-6 кВ - 1 шт, установка на ПС 110/35/6 кВ "Радаевская" блока ВВ-35 -1 шт. Номинал ВВ-35 - 1000 А.</t>
  </si>
  <si>
    <t xml:space="preserve"> Установка ВВ-35 кВ - 3 шт.: ВВ-35 - 2 шт., на ПС Красногородецкая ВВ-35 - 1 шт.; ВЛ-35 кВ 22 км. Схема - "Заход - выход". Номинал ВВ-35 кВ - 1000 А.</t>
  </si>
  <si>
    <t>ОРУ-35 кВ по схеме 35-9 с установкой ВВ-35кВ 1000А - 7 шт. 
На ПС 110/35/6 кВ Исаклинская расширение ОРУ-35 кВ с установкой ВВ-35 кВ 1000А- 2 шт.;
Строительство двухцепной ВЛ-35 кВ Смагинская-Исаклинская 16 км, АС-95.</t>
  </si>
  <si>
    <t>Замена: МВ на ВВ-35 кВ - 1000 А -2 шт., СТ 35/6 кВ- 4000 кВА - 2 шт.,</t>
  </si>
  <si>
    <t xml:space="preserve">Установка СВ-35 кВ - 1000 А - 1 шт. и ЛР-35 на ВЛ-35 кВ «УОН». 
Сооружение ОРУ-35 по схеме мостик (35-5Н). Монтаж АВР 6кВ. Строительство ВЛ-35 кВ АС-95 - 12 км. На ВЛ-35 кВ Кривая Лука (МРСК) для автомтаизации упарвления новой ВЛ 35 кВ требуется установка реклоузера. Монтаж АВР-6 кВ     </t>
  </si>
  <si>
    <t>Замена:
Т-1-Т 35/6 кВ с РПН, тип - ТМН. 4000 кВА - 1 шт.</t>
  </si>
  <si>
    <t>Замена: ВВ-35 кВ -1000 А - 1 шт.</t>
  </si>
  <si>
    <t>Замена:                                                                                               ВВ-35 кВ-4 шт., СВВ-35 кВ-1 шт., 1000 А. КРУН-6 кВ - 20 ячеек.</t>
  </si>
  <si>
    <t xml:space="preserve">
Установка БСК 6 кВ 1000 кВАр 2 сш</t>
  </si>
  <si>
    <t xml:space="preserve"> Замена:
 МВ-35 кВ на ВВ-35 кВ - 1000 А, 
ЛР-35 Т-1-Т, Замена ТН-6-1,2, ТСН-6-1, 
Замена СТ 35/6 кВ 4000 кВА - 1 шт. </t>
  </si>
  <si>
    <t xml:space="preserve">
Замена существующего и установка второго СТ 35/6 кВ 4000 кВА - 2 шт.. 
Строительство ВЛ 35 кВ - АС-95 - 6,5 км
Монтаж АВР 6кВ.</t>
  </si>
  <si>
    <t>Замена:
 оборудование ОРУ-35кВ (ЛР-35 "Санаторная-1", МВ-35 "Санаторная-1" на ВВ-35) РУ-6кВ (МВ-6кВ на ВВ-6кВ в кол-ве 4шт.)</t>
  </si>
  <si>
    <t>Замена СТ 110/35/6 кВ 40 000 кВА - 2 шт</t>
  </si>
  <si>
    <t>Дистанционное управление  В-6кВ Т-1-Т</t>
  </si>
  <si>
    <t>Замена выключателей ВВ-35 кВ - 1000 А - 6 шт.</t>
  </si>
  <si>
    <t>Установка БСК 6 кВ 1000 кВАр 1 сш., 1500 кВАр 2 сш.</t>
  </si>
  <si>
    <t>Установка БСК 6 кВ 1100 кВАр 2 сш.</t>
  </si>
  <si>
    <t xml:space="preserve">Установка реклоузера 35 кВ с дистанционным управлением ПП35 Елховка. Монтаж АВР 6кВ. </t>
  </si>
  <si>
    <t xml:space="preserve">Установка реклоузера 35 кВ с дистанционным управлением на ПП 35 Каменка. Монтаж АВР 6кВ. </t>
  </si>
  <si>
    <t>Замена СТ 35/6 кВ 4000 кВА - 2 шт.
 Монтаж АВР-6 кВ
Установка БСК 6 кВ 1350 кВАр 2 сш.</t>
  </si>
  <si>
    <t xml:space="preserve">                                                                                          Замена ошиновки 35 кВ - 2 секции, замена МВ-35 кВ на ВВ-35 кВ - 2 шт. 12 км</t>
  </si>
  <si>
    <t>Строительство ШМ 35 кВ на ПС 35/6 кВ «Теребилово» с установкой СВ-35</t>
  </si>
  <si>
    <t>Блок СВВ-35 кВ - 1 шт., блок ВВ-35 кВ - 2 шт. и РУ-6 кВ.</t>
  </si>
  <si>
    <t>Установка автоматики дистанционного управления В-35 Сарбай (на ПС 35/6 кВ «Мочалеевка»)</t>
  </si>
  <si>
    <t xml:space="preserve">                                                                                                                        Блок СВВ-35 кВ - 1 шт., блок ВВ-35 кВ - 4 шт.</t>
  </si>
  <si>
    <t xml:space="preserve">
Переустройство ОРУ 35 по схеме 35-9 с установкой ВВ-35 кВ - 1 шт.  Монтаж АВР 6 кВ</t>
  </si>
  <si>
    <t>ОРУ-35 кВ по схеме 35-5Н с установкой   ВВ-35 кВ 1000А - 3 шт.
 На  ПС 110/35/10 кВ "Державинская" расширение РУ-35 кВ  на одну ячейку ВВ-35 кВ 1000А или задействование резервной ячейки.
Строительство ВЛ-35 кВ Жуково-Державино 13 км, АС-95.</t>
  </si>
  <si>
    <t xml:space="preserve">                                                                                                          Блок ВВ-35 кВ - 3 шт.; ВВ-6 кВ - 9 шт.</t>
  </si>
  <si>
    <t>КРУ- 10 ячеек</t>
  </si>
  <si>
    <t xml:space="preserve">замена  В-35 1шт. </t>
  </si>
  <si>
    <t>КРУН- 10 ячеек</t>
  </si>
  <si>
    <t xml:space="preserve">
Установка автоматики дистанционного управления В-35 Сарбай (на ПС 35/6 кВ «Мочалеевка»)</t>
  </si>
  <si>
    <t>Блок СВВ-35 кВ - 1 шт., блок ВВ-35 кВ - 4 шт.
ВЛ-35 кВ - 1 км.</t>
  </si>
  <si>
    <t xml:space="preserve">
ОРУ-35 кВ по схеме 35-5Н с установкой  ВВ-35 кВ 1000А  - 3 шт. 
Строительство ответвления  ВЛ-35 кВ от ВЛ-35 кВ Аманак отпайка на ПС 35/6 Боголюбовка к ПС 35/6 кВ БКНС 1,2 км, АС-95. </t>
  </si>
  <si>
    <t>Трансформаторы 2*6300 кВА; ВВ-35 кВ- 5 шт.</t>
  </si>
  <si>
    <t>ОРУ-35 кВ по схеме 35-5Н с установкой  ВВ-35 кВ 1000А - 3 шт. 
Строительство ВЛ-35 кВ Кротково-Алешкино - ВЛ Кротково 5 км, АС-95.</t>
  </si>
  <si>
    <t>Установка Т-1-Т 35/6 кВ 4000 кВт</t>
  </si>
  <si>
    <t xml:space="preserve">ОРУ по схеме 35-5Н с установкой ВВ-35 кВ 1000А - 3 шт.
Строительство ответвления от ВЛ-35 кВ Сарбай к ПС 35/6 кВ Боголюбовка 9,5 км, АС-95. </t>
  </si>
  <si>
    <t xml:space="preserve">КТПБ(М)-35: 1*ТМН-2500/35-У1 с РПН в пределах 35±.4х2,5%. ВВН-П-35-25/1000 У1** с ном. током 1000 А и ном. током откл. 25 кА-3 шт. 
Двухцепная ВЛ-35кВ АС-95 4 км. </t>
  </si>
  <si>
    <t>Перенос блока ПП-35/6 кВ Мочалеевка на новое место расположения (после ответвления на ПС 35/6  кВ Сургутская (ПРЦЭиЭ №3) и передача ВЛ-35 кВУ Мочалеевка (участок от ПС 110/35/6 кВ Козловская до нового ПП-35 кВ Мочалеевка) и обслуживание ПРЦЭиЭ №3.</t>
  </si>
  <si>
    <t>Замена:
ВВ-35 кВ - 1000 А - 2 шт.                                                                                  ЭВ-110 кВ 1000 А -2 шт.</t>
  </si>
  <si>
    <t xml:space="preserve">
Установка СВ 110. Монтаж АВР 35 кВ и АВР 6 кВ</t>
  </si>
  <si>
    <t>Замена:
МВ-35 на ВВ-35 кВ - 1000 А - 2 шт.
СМВ-35 н аСВВ -35 кВ -1000А- 1 шт. Установка БСК 6 кВ 0,45 Мвар, 2 сш.</t>
  </si>
  <si>
    <t>Замена:
ВВ-35 кВ - 1000 А - 2 шт.
СВВ -35 кВ -100 А- 1 шт.</t>
  </si>
  <si>
    <t xml:space="preserve">                                                                                                   
Установка Т-1,2-Т 2*2500 кВА.
Строительство 2-й секции 35 кВ
Замена:
СВВ-35 кВ - 1000 А - 1 шт. 
ВВ-35 кВ - 1000 А - 4 шт.</t>
  </si>
  <si>
    <t>Замена существующего и установка нового СТ -6300 кВА - 2шт.</t>
  </si>
  <si>
    <t xml:space="preserve">
Строительство 2-й секции 35 кВ, 6 кВ. Строительство ВЛ-35 кВ (2 источник питания) АС-95 - 9,2 км от ПС 35/6 кВ "Карагайская".
 Установка на ПС 35/6 кВ "Карагайская" ВВ-35 кВ - 1000 А - 1 шт.
 Установка БСК 6 кВ 0,4  Мвар, на 1 сек.и 0,45 Мвар, на 2 сш.</t>
  </si>
  <si>
    <t xml:space="preserve">Замена   Т-1-Т; на Т 4000 кВА  - 1 шт. 
Установка реклоузера 35 кВ с дистанционным управлением Блок МВ-35 "Рассвет". Установка секционного разъединителя 35. АВР 6кВ. </t>
  </si>
  <si>
    <t>КРУН-6 кВ - 20 ячеек</t>
  </si>
  <si>
    <t xml:space="preserve">Замена Т1-Т, Т-2Т; 2 шт.
Монтаж АВР 6кВ. Оборудование СВ-35 дистанционным управлением или автоматикой включения. </t>
  </si>
  <si>
    <t>ВВ-35 кВ -1000А - 4 шт, 
СВВ-35 кВ-1000А - 1шт
КРУН-6 кВ - 18 ячеек</t>
  </si>
  <si>
    <t>Оборудование В-35 Тверская  дистанционным управлением или автоматикой включения.</t>
  </si>
  <si>
    <t xml:space="preserve">                                                                             Замена ВВ-35 кВ - 1000 А  - 4 шт.
 Замена СВВ-35 кВ - 1000 А - 1шт.
Замена КРУН-6 кВ - 18 яч.</t>
  </si>
  <si>
    <t>замена 2 компл РВС-35 на 2 компл ОПН-35, замена 4 компл РВП-10 на ОПНп-10</t>
  </si>
  <si>
    <t>Установка БСК
 1,2 Мвар на I СШ 6 кВ, и 0,75 Мвар на II СШ 6 кВ.
Замена Т-1-Т, Т-2-Т 2х16000 кВА</t>
  </si>
  <si>
    <t>Замена блоков МВ-35 кВ на ВВ-35 кВ - 1000 А - 2 шт.</t>
  </si>
  <si>
    <t xml:space="preserve">                                               
Установка:
ВВ-35 кВ 1000А - 3 шт.
ЭВ-110 кВ 1000А - 2 шт.  </t>
  </si>
  <si>
    <t xml:space="preserve">Монтаж АВР 6кВ
</t>
  </si>
  <si>
    <t>ОРУ-35 кв по схеме  35-9 с установкой ВВ-35 кВ 1000А - 5 шт.
Строительство ВЛ-35кВ  от ВЛ Козловская-Берендеевская до Сологаевки 17 км, АС-95</t>
  </si>
  <si>
    <t>№ .п.п.</t>
  </si>
  <si>
    <t xml:space="preserve">П.2 Программа строительства объектов энергетики АО "Самаранефтегаз" на 2016-2025 год, тыс. руб. </t>
  </si>
  <si>
    <t>Примечание (причина включения в план капитальных вложений Общества)</t>
  </si>
  <si>
    <t>Ссылка</t>
  </si>
  <si>
    <t>Конструктивные недостатки системы ОД-КЗ, увеличенный механический износ приводов, изоляции колонок. Существенные недостатки схем с ОД-КЗ, запрещенных к эксплуатации в организациях МРСК, ФСК (значительное время включения короткозамыкателя, приводящее повышенному термическому и динамическому воздействию на электроборудование ОРУ, тяжелые условия работы выключателей на смежных ПС при работе отделителя, низкая эксплуатационная надежность ОД и КЗ). . Неудовлетворительное техническое состояние: Износ механизмов приводов ОД-110 и КЗ-110, разукомплектованы тележки резервных ячеек. Протокол-заключение от 09.08.2014г 
Здание ЗРУ-6 кВ 1957 года постройки. Моральный и физический износ ЗРУ-6 кВ головной ПС 110/35/6 кВ  ЦГМ ОАО "Самаранефтегаз" повышение надёжности электроснабжения Мухановского месторождения.
Повышение надежност и ремонтопригодности оборудования ПС с целью снижения потенц потерь добычи нефти.</t>
  </si>
  <si>
    <t>Том 2.2. Книга 1. ПРИЛОЖЕНИЕ 10.1</t>
  </si>
  <si>
    <t>Конструктивные недостатки системы ОД-КЗ, увеличенный механический износ приводов, изоляции колонок. Существенные недостатки схем с ОД-КЗ, запрещенных к эксплуатации в организациях МРСК, ФСК (значительное время включения короткозамыкателя, приводящее повышенному термическому и динамическому воздействию на электроборудование ОРУ, тяжелые условия работы выключателей на смежных ПС при работе отделителя, низкая эксплуатационная надежность ОД и КЗ). Неудовлетворительное техническое состояние: Износ механизмов приводов ОД-110 и КЗ-110, разукомплектованы тележки резервных ячеек.
 Повышение надежност и ремонтопригодности оборудования ПС с целью снижения потенц потерь добычи нефти.</t>
  </si>
  <si>
    <t xml:space="preserve">Эксплуатация электрооборудования с ограничениями согласно проведенному в 2010, 2011, 06.2012, 05.2013, 05.2014 гг. ТО. Срок службы заменяемых узлов -  44 года.  </t>
  </si>
  <si>
    <t xml:space="preserve">Низкая надежность существующей схемы электроснабжения (отсутствие второго трансформатора), низкая ремонтопригодность - невозможность проведения ремонтов без ограничения нагрузки (отключения важных потребителей - добывающие скважины). Необеспечение требуемой (вторая) категорийности электроснабжения для одиночных скважин с механизированной добычей по табл. 6 ВНТП 3-85.                            </t>
  </si>
  <si>
    <t xml:space="preserve">Конструктивные недостатки системы ОД-КЗ, увеличенный механический износ приводов, изоляции колонок. Существенные недостатки схем с ОД-КЗ, запрещенных к эксплуатации в организациях МРСК, ФСК (значительное время включения короткозамыкателя, приводящее повышенному термическому и динамическому воздействию на электроборудование ОРУ, тяжелые условия работы выключателей на смежных ПС при работе отделителя, низкая эксплуатационная надежность ОД и КЗ).  Эксплуатация электрооборудования с ограничениями согласно проведенному в 2010,2011, 03.2012, 07.2013, 06.2014 гг.  техническому освидетельствованию. Срок службы заменяемых узлов - 34 года.  Не подлежат капитальному ремонту.       </t>
  </si>
  <si>
    <t xml:space="preserve">Эксплуатация электрооборудования с ограничениями согласно проведен-му в 2011г. Техническому освидетельствованию (ТО). Срок службы заменяемых узлов- 14 лет (СТ), 21 год (РУ-6 кВ).  </t>
  </si>
  <si>
    <t xml:space="preserve">Эксплуатация электрооборудования с ограничениями согласно проведенному в 2011, 03.2012 гг. ТО. Срок службы заменяемого электрооборудования - 32 года (ТМ-1600). Не подлежит капитальному ремонту (КР).                                       </t>
  </si>
  <si>
    <t xml:space="preserve">Эксплуатация электрооборудования с ограничениями согласно проведенному в 2010,2011, 10.2012, 09.2013 гг.  ТО. Срок службы заменяемых узлов -38 лет (тип ячеек К-37).  Не подлежат КР.        </t>
  </si>
  <si>
    <t xml:space="preserve">Низкая надежность существующей СЭС  -Эксплуатация электрооборудования К-37 с ограничениями согласно проведенному в 2012 г., 07.2013 г. ТО.      </t>
  </si>
  <si>
    <t>Низкая ремонтопригодность существующей СЭС - невозможность вывода в ремонт в связи со значительными недоборами нефти. Необеспечение требуемой (вторая) категорийности электроснабжения для одиночных скважин с механизированной добычей по табл. 6 ВНТП 3-85.        
В связи с перспективным ростом нагрузок группы Митяевского месторождения. Перевод нагрузок Митяевского м/р на данную ПС в связи с принадлежностью данного участка добычи ЦДНГ2.</t>
  </si>
  <si>
    <t xml:space="preserve">Низкая надежность существующей СЭС ( однотрансформаторная ПС 35/6 кВ), низкая ремонтопригодность - невозможность проведения ремонтов без ограничения нагрузки (отключения важных потребителей - добывающие скважины). Необеспечение требуемой (вторая) категорийности электроснабжения для одиночных скважин с механизированной добычей по табл. 6 ВНТП 3-85. </t>
  </si>
  <si>
    <t>Низкая надежность существующей СЭС (отсутствие 2-го трансформатора), низкая ремонтопригодность - невозможность проведения ремонтов без ограничения нагрузки (отключение важных потребителей - добывающие скважины). Необеспечение требуемой (вторая) категорийности электроснабжения для одиночных скважин с механизированной добычей по табл. 6 ВНТП 3-85. 
Повышение надежност и ремонтопригодности оборудования ПС с целью снижения потенц потерь добычи нефти.</t>
  </si>
  <si>
    <t>Эксплуатация электрооборудования с ограничениями согласно проведенному в 2010.2011, 11.2012  гг. техническому освидетельствованию. Срок службы заменяемых узлов -43 года.  Не подлежат капитальному ремонту.
Повышение надежност и ремонтопригодности оборудования ПС с целью снижения потенц потерь добычи нефти.</t>
  </si>
  <si>
    <t>Поддержание текущего технического состояния электрооборудования согласно требованиям НТД. Перегрузка Т-1-Т мощностью 4000 кВА в режиме работы одного СТ (77%).</t>
  </si>
  <si>
    <t>Электроснабжение новых потребителей Ю-Неприковского месторождения. Перегрузка существующих СТ к 2025 г. (100%) Перспективный рост нагрузки  к 2025 году на 11%. Необходимость строительства новой ПС в связи с изменением схему ОРУ-35 кВ, расширения РУ-6 кВ в связи с появлением разветвленнной сети 6 кВ - повышение ремонтопригодности  и резервирование нагрузок сети 6 кВ.</t>
  </si>
  <si>
    <t>Электроснабжение новых потребителей Ю-Неприковского месторождения. Перспективный рост нагрузки к 2025 году на 29%. Разветвленная сеть 6 кВ - необходимость обеспечения ремонтных и послеаварийных режимов потребителей</t>
  </si>
  <si>
    <t>Электроснабжение новых потребителей Ю-Неприковского месторождения. Перспективный рост нагрузки  к 2025 году на 29%.</t>
  </si>
  <si>
    <t>Электроснабжение новых потребителей Ю-Неприковского месторождения. Перспективный рост нагрузки  к 2025 году на 30%.  Низкая надежность схемы ОРУ-35 кВ ПС в послеаварийных режимах. Невозможность резервирования нагрузок по 6 кВ, вывода в ремонт оборудования и фидеров в совокупности с разветвленнной сетью 6 кВ, в частности бурением скважин №9001-9003.</t>
  </si>
  <si>
    <t xml:space="preserve">В связи с перспективным ростом нагрузок группы Митяевского месторождения. Устаревшее оборудование. Срок эксплуатации трансформаторов - 48 лет. </t>
  </si>
  <si>
    <t xml:space="preserve">Эксплуатация электрооборудования с ограничениями согласно проведенному в 2010, 2011, 07.2013, 07.2014 гг.  ТО. Срок службы заменяемых узлов -35 лет.  Не подлежат КР.                                               </t>
  </si>
  <si>
    <t>Повышение надежност и ремонтопригодности оборудования ПС с целью снижения потенц потерь добычи нефти.</t>
  </si>
  <si>
    <t>Низкая ремонтопригодность. Необходимость резервирования нагрузки ПС по 6 кВ от ПС 110/35/6 кВ Коханы (МРСК). Рост перспектвиных нагрузок на 78%</t>
  </si>
  <si>
    <t xml:space="preserve">Эксплуатация электрооборудования с ограничениями согласно проведенному в 2011 г. ТО. Срок службы заменяемых узлов -42 года.  Невозможность проведения ремонтов без ограничения нагрузки (отключения части потребителей). </t>
  </si>
  <si>
    <t>Том 2.2. Книга 1. ПРИЛОЖЕНИЕ 10.2</t>
  </si>
  <si>
    <t xml:space="preserve">Рост перспективных электрических нагрузок по Бариновско-Лебяжинскому месторождению нефти (в период 2015-2018 гг. планируется в рамках ГТМ ввод 11 новых скважин </t>
  </si>
  <si>
    <t xml:space="preserve">Повышения надёжности электроснабжения Красносамарского, Чаганского и Мало-Малышевского м/р. Существует в ППНЭ 2016-2020 гг.                               </t>
  </si>
  <si>
    <t xml:space="preserve">Отсутствие ремонтных режимов, невозможность питания потребителей при аварийных режимах в связи с низким уровнем напряжения (менее 30 кВ), дефицит узловых ПС на месторождении, риск остановки высокодебитного фонда скважин. Неремонтопригодность и пониженная надежность существующей СЭС  ПС 35/6 кВ "Верхне-Ветлянская" - пять транзитных подстанций, электроснабжение которых осуществляется от одной ВЛ-35 кВ с ПС 110/35/6 кВ "Нефтегорская-2" (МРСК Волги). Перспективный рост электрических нагрузок (50 скважин по Ветлянскому, Верхне-Ветлянскому, Грековскому м/рм с суммарным суточным дебитом в 1989 т/сут согласно плану ГТМ 2015-2018 гг. Стоительство и ввод в эксплуатацию пяти новых ПС 35/6 кВ с электроснабжением от одного питающего центра ПС 110/35/6 кВ "Нефтегорская-1" (ВПО "МРСК Волги"), ПС 110/35/6 кВ "Нефтегорская-2" (ВПО "МРСК Волги"). Частые отключения в сетях "МРСК Волги", МЭС "Волги".       </t>
  </si>
  <si>
    <t xml:space="preserve">Эксплуатация электрооборудования с ограничениями согласно проведенному в 2012 г. ТО. Срок службы на ПС - 11 лет.  Не подлежит КР.  </t>
  </si>
  <si>
    <t xml:space="preserve">Поддержание текущего технического состояния электрооборудования согласно требованиям НТД. </t>
  </si>
  <si>
    <t xml:space="preserve">Эксплуатация электрооборудования с ограничениями согласно проведенному в 2010 г. техническому освидетельствованию. Срок службы заменяемого электрооборудования - 35 лет (ТДТН-25000).  Не подлежат капитальному ремонту. Отсутствие технического эффекта (поддержание исправного состояния) от проведения капитального ремонта на силовом трансформаторе С-2-Т в 2013 г.  Перегрузка основного трансформаторного оборудования с 2015 года.  Возможно ввод новых центров питания снимет перегрузку с ПС (проверить расчётом)                                                    </t>
  </si>
  <si>
    <t xml:space="preserve">Низкая ремонтопригодность существующей СЭС - невозможность вывода в ремонт в связи со значительными недоборами нефти.  Необеспечение требуемой (вторая) категорийности электроснабжения для одиночных скважин с механизированной добычей по табл. 6 ВНТП 3-85.                                                                </t>
  </si>
  <si>
    <t>Низкая ремонтопригодность существующей СЭС - невозможность вывода в ремонт в связи со значительными недоборами нефти.  Необеспечение требуемой (вторая) категорийности электроснабжения для одиночных скважин с механизированной добычей по табл. 6 ВНТП 3-85. Устаревшее оборудование - 37 лет</t>
  </si>
  <si>
    <t xml:space="preserve">Эксплуатация электрооборудования с ограничениями согласно проведенному в 2010,2011, 10.2012, 09.2013 гг.  ТО. Срок службы заменяемых узлов -30 лет (тип ячеек К-37, бетонный пол).  Не подлежат КР.  </t>
  </si>
  <si>
    <t xml:space="preserve">Повышение надежност и ремонтопригодности оборудования ПС с целью снижения потенц потерь добычи нефти. Существует в ППНЭ 2016-2020 гг. </t>
  </si>
  <si>
    <t xml:space="preserve">Эксплуатация электрооборудования с ограничениями согласно проведенному в 2011 г. техническому освидетельствованию. Срок службы заменяемых узлов -42 года.  Невозможность проведения ремонтов без ограничения нагрузки (отключения части потребителей). </t>
  </si>
  <si>
    <t xml:space="preserve">Повышение надежност и ремонтопригодности оборудования ПС с целью снижения потенц потерь добычи нефти. </t>
  </si>
  <si>
    <t>В соответсвтии с балансами перегрузка существующих трансформаторов в перспективе, начиная с 2018 г. ПС Просвет-основной источник питания Цеха №2</t>
  </si>
  <si>
    <t xml:space="preserve">Недопустимые снижения напряжения по существующему кольцу 35 кВ в нормальных режимах (летний максимум -13%); в послеаварийных (n-1) режимах (режимы 1-10;1/4;1/7;1/8;1/12;1/17;1/18;2/1;2/2;2/3;2/5;2/6;2/8;3/1;3/2;3/4;4 в отчёте по первому этапу. Максимальное отклонение напряжения составляет 
-40%) - требуется новый источник питания. Несоблюдение рекомендаций п.5.29 СО 153-34.20.118-2003 - низкая надёжность электроснабжения кольца 35 кВ - ряд последовательно соединённых ПС в послеаварийных режимах (n-1) (7 штук-Парфёновка, Никольская, Евгеньевская, Коммунарская, Красносамрская, Широкинская, КНС). Перспективный рост нагрузок по кольцу (прирост к 2025 году составит 24%). Высокая загруженность основного центра питания- ПС Бариновская (при отключении одного трансформатора загрузка составит 109%, в перспективе 140%). ПС Коммунарская находится на равноудалённом ресстоянии от ПС 110 кВ Бариновская.  </t>
  </si>
  <si>
    <t>Перегрузка основного трансформаторного оборудования (13% в 2025 г). Перспективный рост потребления Верхне-Ветлянского месторождения (в 2025 году прирост нагрузки составит 42%). Несоответствие ПС II категории надёжности. Недопустимое снижение напряжения (в режиме 4 в отчёте по первому этапу. Максимальное отклонение напряжения составляет -21 %). Срок эксплуатации оборудования составляет 28 лет.</t>
  </si>
  <si>
    <t>Низкая ремонтопригодность существующей СЭС - невозможность вывода в ремонт в связи с необходимостью остановки фонда скважин нескольких нефтяных м/р. Единственный источник питания для технологического РУ-6 кВ с суточной перекачкой нефти с Богатырёвского, Половецкого, Кинзякского, Алексеевского, Грековского, Верхне-Ветлянского м/р. Недопустимое снижение напряжения (в режимах 2;2/5;2/6;2/7;4 в отчёте по первому этапу. Максимальное отклонение напряжения составляет -50 %). Низкая надёжность длинной цепи последовательно соединённых ПС в послеаварийных режимах (n-1) (7 штук - Верхне-Ветлянская, Ветлянская, Кулешовская, Город-II, ДНС-1, Зуевка). Перспективный рост нагрузок (прирост к 2025 г составит 86%). Срок эксплуатации оборудования составляет 32 года. Несоответствие ПС II категории надёжности.</t>
  </si>
  <si>
    <t>Эксплуатация электрооборудования с ограничениями согласно проведенному в 06.2012 г. ТО. Срок службы заменяемых узлов -25 лет.  Не подлежат КР.  
Недопустимое снижение напряжения по ГОСТ Р 54149-2010( 12% в режимах 3.4, 3.5, 3.6, до 45% в режиме 3.7).</t>
  </si>
  <si>
    <t>Том 2.2. Книга 1. ПРИЛОЖЕНИЕ 10.3</t>
  </si>
  <si>
    <r>
      <rPr>
        <sz val="11"/>
        <color rgb="FFFF0000"/>
        <rFont val="Times New Roman"/>
        <family val="1"/>
        <charset val="204"/>
      </rPr>
      <t>Замена СТ; замена блоков МВ-35 кВ на вакуумные выключатели</t>
    </r>
    <r>
      <rPr>
        <sz val="11"/>
        <color theme="1"/>
        <rFont val="Times New Roman"/>
        <family val="1"/>
        <charset val="204"/>
      </rPr>
      <t xml:space="preserve">
 Повышение надежности ЦП. Обеспечение электроснабжения перспективных нагрузок. Износ основного оборудования. Недопустимое снижение напряжения на питаемых ПС 35 кВ, в аварийном режиме 3.7 оно составляет  до 45%, необходимость дополнительного источника питания.</t>
    </r>
  </si>
  <si>
    <t>Повышение надежности ЦП. Обеспечение электроснабжения перспективных нагрузок. Износ основного оборудования. Недопустимое снижение напряжения на питаемых ПС 35 кВ, в аварийном режиме 3.7 оно составляет  до 45%, необходимость дополнительного источника питания.</t>
  </si>
  <si>
    <t xml:space="preserve">
Конструктивные недостатки системы ОД-КЗ, увеличенный механический износ приводов, изоляции колонок. Существенные недостатки схем с ОД-КЗ, запрещенных к эксплуатации в организациях МРСК, ФСК (значительное время включения короткозамыкателя, приводящее повышенному термическому и динамическому воздействию на электроборудование ОРУ, тяжелые условия работы выключателей на смежных ПС при работе отделителя, низкая эксплуатационная надежность ОД и КЗ). Неудовлетворительное техническое состояние:Износ механизмов приводов ОД-110, КЗ-110, МВ-35, ШР-35, ЛР-35, разукомплектованы тележки резервных ячеек.
Повышение надежност и ремонтопригодности оборудования ПС с целью снижения потенц потерь добычи нефти.  
Повышение надежности эл. снаб. 5-ти ПС 35/6 кВ СНГ. Несоответствие нормам п. 5.29. СО 153-34.20.118-2003 «Методических рекомендаций по проектированию развития энергосистем» по максимально допустимому числу питаемых ПС 35/6 кВ (не &gt; 5шт.), присоединяемых к одноцепной ВЛ 35 кВ с двухсторонним питанием в норм. и послеаварийных режимах:  Чёрновская, Солнечная, Осиновская, Дачная, К-Черкасская, Винно-Банновская, Шумарка и Берендеи.  Несоблюдение допустимых уровней напряжения в ряде послеаварийных режимов согласно ГОСТ Р 54149-2010:                                                                                                                                                                                    за исключением режимов 1/6-1/7 зимних максимальных нагрузок и режимов 1/6-1/7, 2, 2/1-2/2, 3/3-3/5, 4/1, 6/1 летних максимальных нагрузок. Устаревшее оборудование. Срок эксплуатации трансформаторов - 37 лет.</t>
  </si>
  <si>
    <t xml:space="preserve">Низкая надежность существующей СЭС  - конструктивный недостаток (жёсткий шинный мост между секциями 35 кВ). Эксплуатация электрооборудования с ограничениями согласно проведенному в 05.2014 г. ТО. Срок службы заменяемых узлов -33 года. 
Низкая ремонтопригодность при откл. Т-2-Т и откл. ВЛ-35 Промысловая-1. Невозможность резервирования нагрузок по сети 6 кВ.Повышение надежност и ремонтопригодности оборудования ПС с целью снижения потенц потерь добычи нефти. </t>
  </si>
  <si>
    <t>Рост перспективных электрических нагрузок по Покровскому месторождению нефти (в период 2015-2018 гг. планируется в рамках ГТМ ввод 11 новых скважин. Устареввшее оборудование - 32 года.
Перспективный рост нагрузки (50%). Несоответствие ПС II категории надёжности. Отсутствует строительство ВЛ 35 кВ - второй источник питания</t>
  </si>
  <si>
    <t xml:space="preserve">Конструктивные недостатки системы ОД-КЗ, увеличенный механический износ приводов, изоляции колонок. Существенные недостатки схем с ОД-КЗ, запрещенных к эксплуатации в организациях МРСК, ФСК (значительное время включения короткозамыкателя, приводящее повышенному термическому и динамическому воздействию на электроборудование ОРУ, тяжелые условия работы выключателей на смежных ПС при работе отделителя, низкая эксплуатационная надежность ОД и КЗ). СР-110-1, СР-110-2 (верхние юбки изоляторов покрыты несмываемым слоем ржавчины, сильная изношенность медных гибких шин (компенсаторов)) согласно актов №27,28,35,36 от 08 апреля 2011 г. Срок службы заменяемых узлов - 26 лет.  Не подлежат капитальному ремонту.                                                                  </t>
  </si>
  <si>
    <t>Эксплуатация электрооборудования с ограничениями согласно проведенному в 2012 г. ТО. Срок службы заменяемых узлов -   42  года.   
Повышение надежности питания ПС 35/6 кВ по ВЛ-35 кВ Козловская. Эксплуатация электрооборудования с ограничениями согласно проведенному в 2012 г. ТО. Устаревшее оборудование - эксплуатируется 42 года.</t>
  </si>
  <si>
    <t>Эксплуатация электрооборудования с ограничениями согласно проведенному в 09.2014 г. ТО. Срок службы заменяемого электрооборудования -16 лет (ТМН-2500).  Не подлежит КР 
Недопустимое снижение напряжения по ГОСТ Р 54149-2010( 12% в режимах 3.4, 3.5, 3.6, до 45% в режиме 3.7).</t>
  </si>
  <si>
    <t xml:space="preserve">Эксплуатация электрооборудования с ограничениями согласно проведенному в 07.2013 г. ТО. Срок службы заменяемого электрооборудования - 27 лет (ТМ-1800).  Не подлежит КР.                                                  </t>
  </si>
  <si>
    <t xml:space="preserve">Конструктивные недостатки системы ОД-КЗ, увеличенный механический износ приводов, изоляции колонок. Существенные недостатки схем с ОД-КЗ, запрещенных к эксплуатации в организациях МРСК, ФСК (значительное время включения короткозамыкателя, приводящее повышенному термическому и динамическому воздействию на электроборудование ОРУ, тяжелые условия работы выключателей на смежных ПС при работе отделителя, низкая эксплуатационная надежность ОД и КЗ). СР-110-1 (Верхние юбки изоляторов покрыты несмываемым слоем ржавчины,  сильная изношенность медных гибких шин (компенсаторов)) согласно актов технического освидетельствования №53,54,55,56 от 24.06.2011г. СР-110-2 (Верхние юбки изоляторов покрыты несмываемым слоем ржавчины, разрушение армирования; сильная изношенность медных гибких шин (компенсаторов) согласно акта технического освидетельствования №60 от 24.06.2011г.                   </t>
  </si>
  <si>
    <t xml:space="preserve">Низкая надежность существующей СЭС ( однотрансформаторная ПС 35/6 кВ), низкая ремонтопригодность - невозможность проведения ремонтов без ограничения нагрузки (отключения важных потребителей - добывающие скважины). Необеспечение требуемой (вторая) категорийности электроснабжения для одиночных скважин с механизированной добычей по табл. 6 ВНТП 3-85.   </t>
  </si>
  <si>
    <r>
      <rPr>
        <sz val="11"/>
        <color rgb="FFFF0000"/>
        <rFont val="Times New Roman"/>
        <family val="1"/>
        <charset val="204"/>
      </rPr>
      <t xml:space="preserve">Конструктивные недостатки системы ОД-КЗ, увеличенный механический износ приводов, изоляции колонок. Существенные недостатки схем с ОД-КЗ, запрещенных к эксплуатации в организациях МРСК, ФСК (значительное время включения короткозамыкателя, приводящее повышенному термическому и динамическому воздействию на электроборудование ОРУ, тяжелые условия работы выключателей на смежных ПС при работе отделителя, низкая эксплуатационная надежность ОД и КЗ).  Предаварийное состояние имеют: разъединители СР-110-1, СР-110-2, ШР-110-1, ШР-110-2, ТР-110 С-1-Т, ТР-110 С-2-Т, ЛР-110 «Радаевская», ЛР-110 «Красносельская»; отделители ОД-110 С-1-Т, ОД-110 С-2-Т; короткозамыкатели КЗ-110 С-1-Т, КЗ-110 С-2-Т. Силовой трансформатор С-1-Т: предаварийное состояние имеют: сальниковые уплотнения, прокладки, токоведущие шпильки вводов 35 кВ,  контактные соединения РПН, антикоррозийное покрытие корпуса трансформатора, (согласно протоколу-заключению технического освидетельствования №28 от 04.05.2012 г). </t>
    </r>
    <r>
      <rPr>
        <sz val="11"/>
        <color indexed="8"/>
        <rFont val="Times New Roman"/>
        <family val="1"/>
        <charset val="204"/>
      </rPr>
      <t xml:space="preserve">  
Перегрузка силовых трансформаторов. При отключении Т1Т на ПС Радаевская Т2Т загружен на 120% (2015), в перспективе на 2025г загрузка составит 130%. Устаревшее трансформаторное оборудование - срок эксплуатации составляет 37 лет.  Строительтво линии повысит надежность электроснабжения ПС 35 кВ, питающихся от ПС Радаевская. Содержится в ППНЭ.</t>
    </r>
  </si>
  <si>
    <t xml:space="preserve">Эксплуатация электрооборудования с ограничениями согласно проведенному в 2013 г. ТО. Срок службы заменяемых узлов - 31  год. (TONb-4000). Не подлежит КР.  Повышение надёжности электроснабжения БКНС Радаевского м/р. </t>
  </si>
  <si>
    <t>Повышение надежности питания ПС 35/6 кВ по ВЛ-35 кВ Козловская. Изменение схемы ПС 35/6 кВ КНС с целью  разделения ВЛ-35 кВ Козловская на два участка.</t>
  </si>
  <si>
    <t xml:space="preserve"> Недопустимое снижение напряжения по ГОСТ Р 54149-2010( 12% в режиме 3.6, до 45% в режиме 3.7).</t>
  </si>
  <si>
    <t>Содержится в ППНЭ. Перспективное развитие Южно-Орловского м/р (в рамках реализации ГТМ 2014-2018 гг. планируется к вводу 2 добывающие скважины с ориентировочным дебитом по нефти в 176 т/сут), отстутствие собственных источников питания и сетевой инфраструктуры. Риск отказа в технологическом присоединении новых объектов к ВЛ-10 кВ Ф-9 ПС 35/10 кВ "Черновка" от филиала ОАО "МРСК Волги" - "Самарские РС". 
 Рост перспективных нагрузок на 59% к уровню 2015 г. Переход с тарифа МРСК на собственные источники питания. Отказ от тех. присоед-ния.</t>
  </si>
  <si>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Перспективное эл</t>
    </r>
    <r>
      <rPr>
        <sz val="11"/>
        <color theme="1"/>
        <rFont val="Times New Roman"/>
        <family val="1"/>
        <charset val="204"/>
      </rPr>
      <t>ектроснабжение Бузеровского, Карабикуловского, Киргизовского, Ялтаусского месторождений.</t>
    </r>
  </si>
  <si>
    <t>Износ трансформатора - срок эксплуатации составляет 34 года. Перспективный рост нагрузок 67 %.  Повышение надежности электроснабжения потребителей ПС 35/6 кВ Малиновская, Ивановская за счет строительства ВЛ-35 кВ до ПС 110/35/6 Елховка.</t>
  </si>
  <si>
    <t xml:space="preserve">Низкая ремонтопригодность существующей СЭС - невозможность вывода в ремонт в связи со значительными недоборами нефти. Эксплуатация электрооборудования с ограничениями согласно проведенному в 03.2012 г. ТО. Срок службы заменяемых узлов - 31 год.   Необеспечение требуемой (вторая) категорийности электроснабжения для одиночных скважин с механизированной добычей по табл. 6 ВНТП 3-85.                </t>
  </si>
  <si>
    <t>Организация резервного питания и повышения надежности питания потребителей ПС 35/6 кВ Боровская - Боровского м/р.  Недопустимое снижение напряжения по ГОСТ Р 54149-2010( 12% в режимах 3.5, 3.6, до 45% в режиме 3.7).</t>
  </si>
  <si>
    <t xml:space="preserve">
Низкая надежность электроснабжения ПС 35 кВ Шумалгинсая, Озёркинская, Славкинская, Смагинская - в случае аварийного отключения ВЛ-110 Горбуновская-1 и ВЛ-110 Горбуновская-2, прекращается электроснабжение всех четырех подстанций.  </t>
  </si>
  <si>
    <t xml:space="preserve">Эксплуатация электрооборудования с ограничениями согласно проведенному ТО "  от . Срок службы заменяемых узлов - 31 год (TONb-4000.35).  Не подлежит КР.  </t>
  </si>
  <si>
    <t>Том 2.2. Книга 1. ПРИЛОЖЕНИЕ 10.4</t>
  </si>
  <si>
    <t xml:space="preserve">Эксплуатация электрооборудования с ограничениями согласно проведенному в 08.2014 г. ТО. Срок службы заменяемых узлов - 36 лет.  Не подлежат КР. Протокол-Заключение от 08.09.2014г.      </t>
  </si>
  <si>
    <t xml:space="preserve">Обеспечение электроэнергией социально-значимого объекта п. Бахилова Поляна. Эксплуатация электрооборудования с ограничениями согласно проведенному в 06.2014 г. ТО . Срок эксплуатации оборудования составляет 50 лет.  Предаварийное техническое состояние: моральный и физический износ оборудования (год ввода в эксплуатацию 1964 г). Протокол №349 испытания маслонаполненого СТ. Протокол-заключениен от 08.07.2014г. Несоответствие ПС II категории надёжности (УПСВ Жигулевская). Существует в ППНЭ 2016-2020 гг   </t>
  </si>
  <si>
    <t xml:space="preserve">Обеспечение электроэнергией населения социально значимого объекта п. Львовка. Эксплуатация электрооборудования с ограничениями согласно проведенному в 2010 г. (ОРУ-35 кВ), в 05.2014 г. ТО (по РУ-6 кВ). Срок службы заменяемых узлов -49 лет.  Предаварийное техническое состояние: моральный и физический износ оборудования (год ввода в эксплуатацию 1965г). Протокол №308 испытания маслонаполненого СТ.                                                                              </t>
  </si>
  <si>
    <t>Эксплуатация электрооборудования с ограничениями согласно проведенному в 07.2012 г. ТО. Недопустимое снижение напряжения  (-15 % в режиме №9 отчёта по первому этапу). Перспективный рост нагрузок Ново-Запрудненского меторождения (105%). Срок эксплуатации оборудования составляет 32 года. Несоответствие II категории надежности электроснабжения.</t>
  </si>
  <si>
    <t>В соответсвтии с балансами перегрузка существующих трансформаторов в перспективе, начиная с 2020 г. ПС Красноярская-основной источник питания Цеха №4</t>
  </si>
  <si>
    <t xml:space="preserve">Повышение оперативности управления ПС 35/6 кВ Ветлянка. Обеспечение ремонтопригодности ПС </t>
  </si>
  <si>
    <t>Эксплуатация электрооборудования с ограничениями, соответствие нормам эксплуатации ПС. Замена МВ на ВВ.</t>
  </si>
  <si>
    <t>Недопустимое снижение напряжения (в режимах №6;7;8 отчёта по первому этапу. Максимальное отклонение напряжения составляет -40%).  Неоходимость выравнивания уровней напряжения в ряде послеаварийных режимов за счет КРМ.</t>
  </si>
  <si>
    <t>Недопустимое снижение напряжения (-40 % в режиме №8 отчёта по первому этапу).  Неоходимость выравнивания уровней напряжения в ряде послеаварийных режимов за счет КРМ.</t>
  </si>
  <si>
    <t>Питание ПС 35/6 "Волгановка" по длинным ВЛ-35 (22 км), отпайкой от ВЛ-35Елховка. Низкая управляемость в схемно-режимных переключениях во внешней сети. Повышение оперативности управления ПС 35/6 кВ Каменка. Обеспечение ремонтопригодности ПС.</t>
  </si>
  <si>
    <t xml:space="preserve">Эксплуатация электрооборудования с ограничениями согласно проведенному в 06.2012 г. ТО. Срок службы заменяемого электрооборудования - 42 года.  Не подлежат КР. Недопустимое снижение напряжения (-15 % в режиме №9 отчёта по первому этапу). Неоходимость выравнивания уровней напряжения впослеаварийном режиме за счет КРМ.   Перспективный рост нагрузок Алакаевского меторождения (Прирост к 2025 году составит 21%).      </t>
  </si>
  <si>
    <t xml:space="preserve">Эксплуатация электрооборудования с ограничениями согласно проведенному в 2011 г. техническому освидетельствованию . Срок службы заменяемых узлов -26 лет. 
Повышение надежност и ремонтопригодности оборудования ПС с целью снижения потенц потерь добычи нефти.                                                   </t>
  </si>
  <si>
    <t>Том 2.2. Книга 1. ПРИЛОЖЕНИЕ 10.5</t>
  </si>
  <si>
    <t xml:space="preserve">Эксплуатация электрооборудования с ограничениями согласно проведенному в 2011 г. техническому освидетельствованию.
Повышение надежност и ремонтопригодности оборудования ПС с целью снижения потенц потерь добычи нефти.                    </t>
  </si>
  <si>
    <t>Повышение оперативности управления участком цепи ВЛ-35 кВ Мочалеевка от ПС 110/35/6 кВ Козловская до ПП 35/6 кВ Мочалеевка. Оптимизация структуры диспетчерского управления.</t>
  </si>
  <si>
    <r>
      <rPr>
        <sz val="11"/>
        <color rgb="FFFF0000"/>
        <rFont val="Times New Roman"/>
        <family val="1"/>
        <charset val="204"/>
      </rPr>
      <t xml:space="preserve">Эксплуатация электрооборудования с ограничениями согласно проведенному в 2012 г. техническому освидетельствованию.
</t>
    </r>
    <r>
      <rPr>
        <sz val="11"/>
        <rFont val="Times New Roman"/>
        <family val="1"/>
        <charset val="204"/>
      </rPr>
      <t xml:space="preserve">Повышение надежност и ремонтопригодности оборудования ПС с целью снижения потенц потерь добычи нефти.   </t>
    </r>
    <r>
      <rPr>
        <b/>
        <sz val="11"/>
        <rFont val="Times New Roman"/>
        <family val="1"/>
        <charset val="204"/>
      </rPr>
      <t xml:space="preserve"> </t>
    </r>
  </si>
  <si>
    <r>
      <t xml:space="preserve">Эксплуатация электрооборудования с ограничениями согласно проведенному в 2011 г. техническому освидетельствованию.                       </t>
    </r>
    <r>
      <rPr>
        <b/>
        <sz val="11"/>
        <rFont val="Times New Roman"/>
        <family val="1"/>
        <charset val="204"/>
      </rPr>
      <t xml:space="preserve"> </t>
    </r>
  </si>
  <si>
    <r>
      <rPr>
        <sz val="11"/>
        <color rgb="FFFF0000"/>
        <rFont val="Times New Roman"/>
        <family val="1"/>
        <charset val="204"/>
      </rPr>
      <t xml:space="preserve">Ввод новых мощностей  в связи с ростом электрических нагрузок (строительство КС "Сологаевская").  </t>
    </r>
    <r>
      <rPr>
        <sz val="11"/>
        <rFont val="Times New Roman"/>
        <family val="1"/>
        <charset val="204"/>
      </rPr>
      <t xml:space="preserve">
Строительство ответвления дает возможность перевода на второй источник питания, снижение времени простоя технологического оборудования, снижение потерь нефти, возможность вывода в ремонт ВЛ-35 кВ Жуково, ВЛ-35 кВ Городецк без потерь нефти.                                             </t>
    </r>
  </si>
  <si>
    <r>
      <t>Низкая надежность существующей схемы электроснабжения  -конструктивный недостаток (жёсткий шинный мост между секциями 35 кВ). Эксплуатация электрооборудования с ограничениями согласно проведенному в 09.2013 г. техническому освидетельствованию. Срок службы заменяемых узлов -31 год.</t>
    </r>
    <r>
      <rPr>
        <b/>
        <sz val="11"/>
        <rFont val="Times New Roman"/>
        <family val="1"/>
        <charset val="204"/>
      </rPr>
      <t xml:space="preserve">                                                   </t>
    </r>
  </si>
  <si>
    <r>
      <rPr>
        <sz val="11"/>
        <color rgb="FFFF0000"/>
        <rFont val="Times New Roman"/>
        <family val="1"/>
        <charset val="204"/>
      </rPr>
      <t xml:space="preserve">Низкая надежность существующей схемы электроснабжения  -конструктивный недостаток (жёсткий шинный мост между секциями 35 кВ). Эксплуатация электрооборудования с ограничениями согласно проведенному в 2010 г. техническому освидетельствованию.  </t>
    </r>
    <r>
      <rPr>
        <sz val="11"/>
        <rFont val="Times New Roman"/>
        <family val="1"/>
        <charset val="204"/>
      </rPr>
      <t xml:space="preserve">
Несоответствие категории надежности. Строительство ВЛ дает  возможность перевода на второй источник питания, снижение времени простоя технологического оборудования, снижение потерь нефти, возможность вывода в ремонт ВЛ-35 кВ Сарбай (участок ВЛ от Пс 110/35/6 кВ Сосновка до Пс 35/6 кв Дерюжевка)  и ВЛ-35 кВ Аманак отпайка на ПС 35/6 кВ Боголюбовка без потерь нефти.   </t>
    </r>
  </si>
  <si>
    <t xml:space="preserve">Эксплуатация электрооборудования с ограничениями согласно проведенному в 2011 г. ТО.   </t>
  </si>
  <si>
    <t>Эксплуатация электрооборудования с ограничениями согласно проведенному в 2012 г. ТО 
          Строительство ВЛ дает возможность перевода на второй источник питания, снижение времени простоя технологического оборудования, снижение потерь нефти, возможность вывода в ремонт ВЛ-35 кВ Кротково-Алешкино, ВЛ-35 кВ Аманак без потерь нефти.      .</t>
  </si>
  <si>
    <t>Несоответствие категории надежности (2 кат.)Недопустимое снижение напряжения (21% в аварийном режиме 5.2).Строительство ответвления дает возможность перевода на второй источник питания, снижение времени простоя технологического оборудования, снижение потерь нефти, возможность вывода в ремонт ВЛ-35 кВ Сарбай (участок ВЛ от Пс 110/35/6 кВ Сосновка до Пс 35/6 кв Дерюжевка)  и ВЛ-35 кВ Аманак отпайка на ПС 35/6 кВ Боголюбовка без потерь нефти.</t>
  </si>
  <si>
    <t>Строительство ВЛ дает возможность перевода на второй источник питания, снижение времени простоя технологического оборудования, снижение потерь нефти, возможность вывода в ремонт ВЛ-35 кВ Жуково, ВЛ-35 кВ Городецк без потерь нефти.</t>
  </si>
  <si>
    <t xml:space="preserve">Устаревшее оборудование (находится в эксплуатации 39 лет) ; перспективный рост нагрузки - 185%.
</t>
  </si>
  <si>
    <t xml:space="preserve">Эксплуатация электрооборудования с ограничениями согласно проведенному в 2010 г. техническому освидетельствованию. Срок службы заменяемых узлов - 26 лет.    
Повышение надежност и ремонтопригодности оборудования ПС с целью снижения потенц потерь добычи нефти.   </t>
  </si>
  <si>
    <t>Том 2.2. Книга 1. ПРИЛОЖЕНИЕ 10.6</t>
  </si>
  <si>
    <t>Поддержание текущего технического состояния электрооборудования согласно требованиям НТД.</t>
  </si>
  <si>
    <t xml:space="preserve">Низкая надежность существующей СЭС  -конструктивный недостаток (жёсткий шинный мост между секциями 35 кВ). Эксплуатация электрооборудования с ограничениями согласно проведенному в 05-06.2014 г. ТО. Срок службы заменяемых узлов - 33 года. </t>
  </si>
  <si>
    <t xml:space="preserve">Низкая надежность существующей СЭС (единственная питающая ВЛ-35 кВ "Дзержинская-2", заходящая на однотрансформаторную ПС 35/6 кВ), низкая ремонтопригодность - невозможность проведения ремонтов без ограничения нагрузки (отключения важных потребителей - добывающие скважины). Необеспечение требуемой (вторая) категорийности электроснабжения для одиночных скважин с механизированной добычей по табл. 6 ВНТП 3-85. Срок службы заменяемых узлов -25 лет.                            </t>
  </si>
  <si>
    <t xml:space="preserve">Низкая надежность существующей СЭС (отсутствие второго трансформатора), низкая ремонтопригодность - невозможность проведения ремонтов без ограничения нагрузки (отключения важных потребителей - добывающие скважины). Необеспечение требуемой (вторая) категорийности электроснабжения для одиночных скважин с механизированной добычей по табл. 6 ВНТП 3-85.  </t>
  </si>
  <si>
    <t>Поддержание текущего технического состояния электрооборудования согласно требованиям НТД. 
Повышение надежност и ремонтопригодности оборудования ПС с целью снижения потенц потерь добычи нефти.</t>
  </si>
  <si>
    <t xml:space="preserve">Низкая надежность существующей СЭС  -Эксплуатация электрооборудования производства г. Чирчик с ограничениями согласно проведенному в 2012 г., 07.2013 г. ТО.  
Повышение надежност и ремонтопригодности оборудования ПС с целью снижения потенц потерь добычи нефти.                                                                       </t>
  </si>
  <si>
    <t>Поддержание текущего технического состояния электрооборудования согласно требованиям НТД. Повышение надежност и ремонтопригодности оборудования ПС с целью снижения потенц потерь добычи нефти.</t>
  </si>
  <si>
    <t>Модернизация оборудования защиты от воздействия грозовых перенапряжений. Снижение аварийности по причине влияния импульсных токов и перенпраяжений при прохождении грозовых фронтов</t>
  </si>
  <si>
    <t>ПС 35/6 кВ 2х4000 кВА "Ключевская"</t>
  </si>
  <si>
    <t>ПРЦЭиЭ</t>
  </si>
  <si>
    <t>Объект</t>
  </si>
  <si>
    <t>1. ЛЭП 220-110 кВ</t>
  </si>
  <si>
    <t>2. ПС 220-110 кВ</t>
  </si>
  <si>
    <t>3. ЛЭП 35 кВ</t>
  </si>
  <si>
    <t>4. ПС 35 кВ</t>
  </si>
  <si>
    <t>2.1</t>
  </si>
  <si>
    <t>2.2</t>
  </si>
  <si>
    <t>2.3</t>
  </si>
  <si>
    <t>2.4</t>
  </si>
  <si>
    <t>2.6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</si>
  <si>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</si>
  <si>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</si>
  <si>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</si>
  <si>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</si>
  <si>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</si>
  <si>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</si>
  <si>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</si>
  <si>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</si>
  <si>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</si>
  <si>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</si>
  <si>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</si>
  <si>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</si>
  <si>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</si>
  <si>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</si>
  <si>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</si>
  <si>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</si>
  <si>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</si>
  <si>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</si>
  <si>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</si>
  <si>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</si>
  <si>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</si>
  <si>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</si>
  <si>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</si>
  <si>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4.25</t>
  </si>
  <si>
    <t>4.26</t>
  </si>
  <si>
    <t>4.28</t>
  </si>
  <si>
    <t>4.29</t>
  </si>
  <si>
    <t>4.32</t>
  </si>
  <si>
    <t>4.33</t>
  </si>
  <si>
    <t>4.34</t>
  </si>
  <si>
    <t>4.35</t>
  </si>
  <si>
    <t>4.39</t>
  </si>
  <si>
    <t>4.40</t>
  </si>
  <si>
    <t>4.51</t>
  </si>
  <si>
    <t>шт</t>
  </si>
  <si>
    <t>шт
шт</t>
  </si>
  <si>
    <t>шт
км</t>
  </si>
  <si>
    <t>1
1</t>
  </si>
  <si>
    <t>3
9</t>
  </si>
  <si>
    <t>Техническая характеристика объекта</t>
  </si>
  <si>
    <t>Производственные параметры объекта</t>
  </si>
  <si>
    <t>ед. измер.</t>
  </si>
  <si>
    <t>количество</t>
  </si>
  <si>
    <t>Наличие ПД, РД (%)</t>
  </si>
  <si>
    <t>Обеспечен-ность ТМЦ(%)</t>
  </si>
  <si>
    <t>Полная стоимость объекта тыс. руб.(без НДС)</t>
  </si>
  <si>
    <t>Сумма, тыс.руб</t>
  </si>
  <si>
    <t>Сумма тыс. руб</t>
  </si>
  <si>
    <t>Итого
2015-2025</t>
  </si>
  <si>
    <t>Показатели программы. Капитальные вложения, тыс. руб без НДС</t>
  </si>
  <si>
    <t>3
1,2</t>
  </si>
  <si>
    <t>Примечание</t>
  </si>
  <si>
    <t>кмп</t>
  </si>
  <si>
    <t>Итого по АО "Самаранефтегаз"</t>
  </si>
  <si>
    <t>4.13</t>
  </si>
  <si>
    <t>АО "Самаранефтегаз"</t>
  </si>
  <si>
    <t>2 цех</t>
  </si>
  <si>
    <t>1 цех</t>
  </si>
  <si>
    <t>6 цех</t>
  </si>
  <si>
    <t>3 цех</t>
  </si>
  <si>
    <t>4 цех</t>
  </si>
  <si>
    <t>5 цех</t>
  </si>
  <si>
    <t>Итого по 1 цеху</t>
  </si>
  <si>
    <t>Итого по 2 цеху</t>
  </si>
  <si>
    <t>Итого по 3 цеху</t>
  </si>
  <si>
    <t>Итого по 4 цеху</t>
  </si>
  <si>
    <t>Итого по 5 цеху</t>
  </si>
  <si>
    <t>Итого по 6 цеху</t>
  </si>
  <si>
    <t>Экономический эффект,
тыс.руб</t>
  </si>
  <si>
    <t>Сумарный экономический эффект от реализации до 2025г., тыс.руб</t>
  </si>
  <si>
    <t>Замена МВ-35 кВ на ВВ-35 кВ</t>
  </si>
  <si>
    <t>кмп,
км</t>
  </si>
  <si>
    <t>№ п.п.</t>
  </si>
  <si>
    <t>1
17</t>
  </si>
  <si>
    <t>2. ПС 220-110 кВ 2 цех</t>
  </si>
  <si>
    <t>4. ПС 35 кВ цех 1</t>
  </si>
  <si>
    <t>4. ПС 35 кВ цех 2</t>
  </si>
  <si>
    <t>4. ПС 35 кВ цех 3</t>
  </si>
  <si>
    <t>4. ПС 35 кВ цех 4</t>
  </si>
  <si>
    <t>4. ПС 35 кВ цех 5</t>
  </si>
  <si>
    <t>кмп
км</t>
  </si>
  <si>
    <t>1
7,3</t>
  </si>
  <si>
    <t>Строительство двухтрансформаторной ПС 2*6,3 МВА. Строительство ВЛ 35 кВ - АС-95 - 7,3 км.</t>
  </si>
  <si>
    <t xml:space="preserve">Строительство двухтрансформаторной ПС 2х2,5 МВА. 
Двухцепная ВЛ-35кВ АС-95 4 км. </t>
  </si>
  <si>
    <t xml:space="preserve">
кмп,
км
</t>
  </si>
  <si>
    <t>ПС 35/6 кВ 1800 кВА "Сарбайско-Мочалеевская"</t>
  </si>
  <si>
    <t>1
8</t>
  </si>
  <si>
    <t xml:space="preserve">Строительство двухтрансформаторной ПС 2х6,3 МВА. </t>
  </si>
  <si>
    <t>2. ПС 220-110 кВ цех 1</t>
  </si>
  <si>
    <t>2. ПС 220-110 кВ цех 3</t>
  </si>
  <si>
    <t>2. ПС 220-110 кВ цех 6</t>
  </si>
  <si>
    <t>4. ПС 35 кВ цех 6</t>
  </si>
  <si>
    <t>Техническое перевооружение ПС 110/35/6 кВ "Подгорная"</t>
  </si>
  <si>
    <t xml:space="preserve">Замена систем ОД-КЗ на ЭВ-110 кВ </t>
  </si>
  <si>
    <t>шт.
шт.</t>
  </si>
  <si>
    <t>Замена КРУН-6 кВ - 14 ячеек</t>
  </si>
  <si>
    <t xml:space="preserve"> Техническое перевооружение ПС 35/6 кВ «Боголюбовка»</t>
  </si>
  <si>
    <t xml:space="preserve">Техническое перевооружение ПС 35/6 кВ «Мочалеевка» </t>
  </si>
  <si>
    <t xml:space="preserve"> Техническое перевооружение ПС-35/6 кВ "Дерюжевка"</t>
  </si>
  <si>
    <t>Техническое перевооружение ПС 35/6 кВ «Аманак»</t>
  </si>
  <si>
    <t>Техническое перевооружение ПП-35 кВ «Мочалеевка»</t>
  </si>
  <si>
    <t>Техническое перевооружение ПС 35/6 кВ Бирюковская</t>
  </si>
  <si>
    <t>Замена Т-1-Т 4000 кВА.</t>
  </si>
  <si>
    <t>Техническое перевооружение ПС 35/6кВ "Берендеи"</t>
  </si>
  <si>
    <t>Техническое перевооружение ПС 35/6 кВ "Никольская"</t>
  </si>
  <si>
    <t>Техническое перевооружение ПС 35/6 кВ "Благодаровская"</t>
  </si>
  <si>
    <t xml:space="preserve">
кмп
км
</t>
  </si>
  <si>
    <t>Строительство двухтрансформаторной ПС 2*4 МВА. Строительство отпайки от ВЛ-35 кВ Козловская-Берендеевская, АС-95</t>
  </si>
  <si>
    <t>Техническое перевооружение ПС 35/6кВ "Обошинская"</t>
  </si>
  <si>
    <t>Техническое перевооружение ПС 35/6кВ "Сургутская"</t>
  </si>
  <si>
    <t xml:space="preserve"> Установка БСК: 1СШ6кВ - 0,9 Мвар, 2СШ6кВ - 0,6 Мвар. </t>
  </si>
  <si>
    <t>Техническое перевооружение ПС 35/6 кВ "ФНС"</t>
  </si>
  <si>
    <t>1
12</t>
  </si>
  <si>
    <t xml:space="preserve">Замена: МВ на ВВ-35 кВ, Т-1,2-Т- 4000 кВА .Установка СВ-35 кВ - 1 шт. и ЛР-35 на ВЛ-35 кВ «УОН».  Строительство ВЛ-35 кВ АС-95. На ВЛ-35 кВ Кривая Лука (МРСК) установка реклоузера. </t>
  </si>
  <si>
    <t>Замена ЛР-35 "Санаторная-1", МВ-35 "Санаторная-1" на ВВ-35 РУ-6кВ (МВ-6кВ на ВВ-6кВ в кол-ве 4шт.)</t>
  </si>
  <si>
    <t>Техническое перевооружение ПС 35/6 кВ "Каменка"</t>
  </si>
  <si>
    <t>Техническое перевооружение ПС 35/6 кВ "Волгановка"</t>
  </si>
  <si>
    <t>Техническое перевооружение ПС 35/6кВ "Сытовка"</t>
  </si>
  <si>
    <t>Замена СТ 35/6 кВ 4 МВА - 2 шт. Монтаж АВР-6 кВ. Установка БСК 6 кВ 1350 кВАр 2 сш.</t>
  </si>
  <si>
    <t>Техническое перевооружение ПС 35/6 кВ "Ключи"</t>
  </si>
  <si>
    <t xml:space="preserve">Установка Т-1-Т 35/6 кВ 4000 кВт. ОРУ по схеме 35-5Н с установкой ВВ-35 кВ  - 3 шт. Строительство ответвления от ВЛ-35 кВ Сарбай к ПС 35/6 кВ Боголюбовка, АС-95. </t>
  </si>
  <si>
    <t>1
9,5</t>
  </si>
  <si>
    <t xml:space="preserve">Реконструкция ПС 35/6 кВ "БКНС" </t>
  </si>
  <si>
    <t xml:space="preserve">Установкка  ВВ-35 кВ - 3 шт. Строительство ответвления  от ВЛ-35 кВ Аманак к ПС 35/6 кВ БКНС, АС-95. </t>
  </si>
  <si>
    <t>Замена КРУН- 10 ячеек</t>
  </si>
  <si>
    <t>Замена КРУН- 10 ячеек. Установка автоматики дистанционного управления В-35 Сарбай</t>
  </si>
  <si>
    <t>Замена Блок СВВ-35 кВ - 1 шт., блок ВВ-35 кВ - 2 шт. и РУ-6 кВ.</t>
  </si>
  <si>
    <t>Замена КРУН-6 - 10 ячеек. Установка  ВВ-35 кВ  - 3 шт. Строительство ВЛ-35 кВ Кротково-Алешкино - ВЛ Кротково, АС-95.</t>
  </si>
  <si>
    <t>1
5</t>
  </si>
  <si>
    <t xml:space="preserve">Перенос блока ПП-35/6 кВ Мочалеевка на новое место расположения </t>
  </si>
  <si>
    <t>Замена ошиновки 35 кВ 2 сш, замена МВ-35 кВ на ВВ-35 кВ - 2 шт. Уустановк СВ-35</t>
  </si>
  <si>
    <t xml:space="preserve">Реконструкция ПС 35/6 кВ "Жуково" </t>
  </si>
  <si>
    <t>Установка   ВВ-35 кВ  - 3 шт.  Строительство ВЛ-35 кВ Жуково-Державино, АС-95.</t>
  </si>
  <si>
    <t>1
13</t>
  </si>
  <si>
    <t>Техническое перевооружение ПС 35/6 кВ "Ключевская"</t>
  </si>
  <si>
    <t>Замена МВ на ВВ-35 кВ - 1 шт.  Монтаж АВР 6 кВ.</t>
  </si>
  <si>
    <t xml:space="preserve">                                                                                                          Замена МВ на Блок ВВ-35 кВ - 3 шт.; ВВ-6 кВ - 9 шт.</t>
  </si>
  <si>
    <t>Техническое перевооружение ПС 35/6 кВ "Городецк"</t>
  </si>
  <si>
    <t>Техническое перевооружение ПС 35/6 кВ "Кротково-Алешкино"</t>
  </si>
  <si>
    <t>Техническое перевооружение ПС 35/6 кВ "Теребилово"</t>
  </si>
  <si>
    <t>Техническое перевооружение ПС 35/6кВ "Тверская"</t>
  </si>
  <si>
    <t>Замена: ВВ-35 кВ -1000А - 4 шт, СВВ-35 кВ-1000А - 1шт
КРУН-6 кВ - 18 ячеек</t>
  </si>
  <si>
    <t>Техническое перевооружение ПС 35/6кВ "Гараевская"</t>
  </si>
  <si>
    <t>Замена: ВВ-35 кВ - 2 шт. СВВ -35 кВ -100 А- 1 шт.</t>
  </si>
  <si>
    <t>Замена МВ-35 на ВВ-35 кВ - 3 шт. Установка БСК 6 кВ 0,45 Мвар, 2 сш.</t>
  </si>
  <si>
    <t>Техническое перевооружение С 35/6кВ "Горбатовская-2"</t>
  </si>
  <si>
    <t>Техническое перевооружение ПС 35/6 Гребенная</t>
  </si>
  <si>
    <t>2.5</t>
  </si>
  <si>
    <t>Установка доп. блоков ВВ-35 кВ  - 2 шт. Реконструкция ОРУ-35 кВ</t>
  </si>
  <si>
    <t>Техническое перевооружение ПС 35/6кВ "Винно-Банновская"</t>
  </si>
  <si>
    <t>Программа реконструкции и техперевооружения объектов энергетики по предприятиям нефтегазодобычи АО "Самаранефтегаз" на 2015-2025 годы</t>
  </si>
  <si>
    <t>4.46</t>
  </si>
  <si>
    <t>4.49</t>
  </si>
  <si>
    <t>4.56</t>
  </si>
  <si>
    <t xml:space="preserve"> Строительство 2-хтрансформаторной ПС 2х4 МВА, ВВ-35 кВ  - 3 шт. ОРУ-35 по 35-5Н. Установка АВР 35 и 6 кВ. Строительство ВЛ 35 кВ - АС-95 - 8 км. </t>
  </si>
  <si>
    <t>2. ПС 220-110 кВ цех 2</t>
  </si>
  <si>
    <t>Экономический эффект,
тыс.руб / год</t>
  </si>
  <si>
    <t>Показатель</t>
  </si>
  <si>
    <t>Суммарный объём добычи жидкости АО "Самаранефтегаз", тыс. тн.</t>
  </si>
  <si>
    <t>Суммарный объём добычи нефти АО "Самаранефтегаз", тыс. тн.</t>
  </si>
  <si>
    <t>Нагрузка всех потребителей АО "Самаранефтегаз", МВт</t>
  </si>
  <si>
    <t>Суммарное ожидаемое снижение потерь нефти в результате реализации программы по повышению надежности электроснабжения, тыс. тн.</t>
  </si>
  <si>
    <t>Суммарный экономический эффект, тыс. руб. от реализации всех мероприятий</t>
  </si>
  <si>
    <t>Стоимость программ, направленных на развитие, тыс. руб.</t>
  </si>
  <si>
    <t>Стоимость программ, направленных на поддержание, тыс. руб.</t>
  </si>
  <si>
    <t>Стоимость программ по повышению надёжности электроснабжения и обеспечения новых нагрузок, тыс. руб.</t>
  </si>
  <si>
    <t>5 460 945</t>
  </si>
  <si>
    <t>Новое строительство</t>
  </si>
  <si>
    <t>Реконструкция</t>
  </si>
  <si>
    <t>Техническое перевооружение ПС 110/35/6 кВ "Лугань" (ВВ-110 кВ, 35кВ)</t>
  </si>
  <si>
    <t>Техническое перевооружение ПС 110/35/6 кВ "Лугань" (БСК)</t>
  </si>
  <si>
    <t xml:space="preserve"> Замена ОД-КЗ на ЭВ, разъединителей 110 кВ, ТОЛ-110, ОПН-110 кВ. </t>
  </si>
  <si>
    <t>2
8</t>
  </si>
  <si>
    <t>Установка БСК  1,2 Мвар на I СШ 6 кВ, и 0,75 Мвар на II СШ 6 кВ.</t>
  </si>
  <si>
    <t xml:space="preserve">Замена ОД-КЗ на ЭВ. </t>
  </si>
  <si>
    <t>Замена Блок СВВ-35 кВ - 1 шт., блок ВВ-35 кВ - 2 шт.</t>
  </si>
  <si>
    <t>Техническое перевооружение ПС 35/6кВ "Промысловая" (1 цех)</t>
  </si>
  <si>
    <t xml:space="preserve">Строительство новой 2-х трансформаторной ПС 2х6300кВА. </t>
  </si>
  <si>
    <t>Замена МВ на ВВ-35 кВ - 4 шт., установка СВВ-35кВ- 1шт.  Монтаж АВР 6 кВ.</t>
  </si>
  <si>
    <t>4
1</t>
  </si>
  <si>
    <t>Техническое перевооружение ПС 35/6кВ "Кривая Лука" (Замена В-35кВ)</t>
  </si>
  <si>
    <t>ВВ-35 кВ</t>
  </si>
  <si>
    <t>Замена блоков МВ-35 кВ на ВВ-35 кВ - 1000 А - 2 шт. Монтаж АВР 6кВ</t>
  </si>
  <si>
    <t xml:space="preserve"> Замена:
 СТ 2500 кВА - 2 шт.
Замена выключателей ВВ-35 кВ 1000А - 3 шт.</t>
  </si>
  <si>
    <t>Техническое перевооружение ПС 35/6кВ "Запрудная"</t>
  </si>
  <si>
    <t>Техническое перевооружение ПС 35/6 кВ "Ветлянская"</t>
  </si>
  <si>
    <t>2
3</t>
  </si>
  <si>
    <t>Замена ВВ-35 кВ - 1 шт</t>
  </si>
  <si>
    <t>Замена шинного моста 35 кВ, замена МВ-35 кВ на ВВ-35 кВ - 2 шт.</t>
  </si>
  <si>
    <t>Техническое перевооружение ПС 35/6 кВ "ДНС-2"</t>
  </si>
  <si>
    <t>Замена  Т-1,2-Т 2*4000 кВА</t>
  </si>
  <si>
    <t>2. ПС 220-110 кВ 3 цех</t>
  </si>
  <si>
    <t>2.11</t>
  </si>
  <si>
    <t>4.54</t>
  </si>
  <si>
    <t>4.62</t>
  </si>
  <si>
    <t>4.63</t>
  </si>
  <si>
    <t>Замена МВ на Блок ВВ-35 кВ - 3 шт.; ВВ-6 кВ - 9 шт.</t>
  </si>
  <si>
    <t>Замена 3-х МВ-35 на ВВ-35</t>
  </si>
  <si>
    <t>Техническое перевооружение ПС 110/6кВ "Горбуновская"</t>
  </si>
  <si>
    <t>Техническое перевооружение ПС 110/35/6кВ "Кудиновская"</t>
  </si>
  <si>
    <t>Техническое перевооружение МВ-35 кВ «В.Гай»</t>
  </si>
  <si>
    <t>м</t>
  </si>
  <si>
    <t>Итого 
2018-2025</t>
  </si>
  <si>
    <t>Реконструкция, в составе обустройства скважин</t>
  </si>
  <si>
    <t>Категория</t>
  </si>
  <si>
    <t>В составе обустройства скважин</t>
  </si>
  <si>
    <t>ОНСС</t>
  </si>
  <si>
    <t>Объекты энергетики</t>
  </si>
  <si>
    <t>1.1</t>
  </si>
  <si>
    <t>Строительство двух одноцепных ВЛ-110 кВ АС-120 - 76 км</t>
  </si>
  <si>
    <t>км</t>
  </si>
  <si>
    <t>ПС 110/35/6 "Грековская"</t>
  </si>
  <si>
    <t>ПС 35/6 кВ "Богатырёвская"</t>
  </si>
  <si>
    <t>ПС 35/6 кВ "Сологаевская"</t>
  </si>
  <si>
    <t>Месторождение</t>
  </si>
  <si>
    <t>Грековское</t>
  </si>
  <si>
    <t>Источник финансирования      (РН/ДО/ИЗАО)</t>
  </si>
  <si>
    <t>ДО</t>
  </si>
  <si>
    <t>Ветлянское</t>
  </si>
  <si>
    <t>Богатыревское</t>
  </si>
  <si>
    <t>Сологаевское</t>
  </si>
  <si>
    <t>Неклюдовское</t>
  </si>
  <si>
    <t>Мухановское</t>
  </si>
  <si>
    <t>Дмитриевское</t>
  </si>
  <si>
    <t>Горбуновское</t>
  </si>
  <si>
    <t>Кудиновское</t>
  </si>
  <si>
    <t>Никольско-Спиридоновское</t>
  </si>
  <si>
    <t>Южно-Орловское</t>
  </si>
  <si>
    <t>Кулешовское</t>
  </si>
  <si>
    <t>До</t>
  </si>
  <si>
    <t>Ново-Запрудненское</t>
  </si>
  <si>
    <t>Сургутское</t>
  </si>
  <si>
    <t>Михайловско-Коханское</t>
  </si>
  <si>
    <t>Тверское</t>
  </si>
  <si>
    <t>Белозеро-Чубовское</t>
  </si>
  <si>
    <t>Красногородецкое</t>
  </si>
  <si>
    <t>Техническое перевооружение ПС 110/35/6 кВ "Тимашевская"</t>
  </si>
  <si>
    <t>ПС 35/6 кВ "Кулешовская"</t>
  </si>
  <si>
    <t>ПС 35/10 "Южно-Орловская"</t>
  </si>
  <si>
    <t>ПС 35/6 кВ "Промысловая" (2 цех)</t>
  </si>
  <si>
    <t xml:space="preserve">Строительство ПС : Т-1-Т, Т-2-Т 4000кВА. Установка Блок СВВ-35 кВ - 1 шт. Замена блок ВВ-35 кВ - 3 шт.
КРУН-6 кВ - 20 ячеек.  Строительство ВЛ 35 кВ - АС-95 </t>
  </si>
  <si>
    <t>Реконструкция ПС 35/6кВ "Марьевская"</t>
  </si>
  <si>
    <t>ПС 35/6кВ "Чубовка"</t>
  </si>
  <si>
    <t>Строительство новой двухтрансформаторной ПС 35/6 кВ 2*4 МВА;  ВВ-35 кВ - 3 шт. ОРУ-35 кВ ПС 35/6 кВ Екатериновская - установка ячейки ВВ-35 кВ - 2 шт. ВЛ-35 кВ  одноцепная 18х2 км</t>
  </si>
  <si>
    <t>1
32</t>
  </si>
  <si>
    <t xml:space="preserve">Замена:
ВВ-35 кВ 1000А - 4 шт.
ЭВ-110 кВ 1000А - 2 шт.  </t>
  </si>
  <si>
    <t>4
2</t>
  </si>
  <si>
    <t>Замена КРУН-6 кВ - 16 ячеек</t>
  </si>
  <si>
    <t>Замена Т-1-Т 1800 кВА на 2500 кВА. КРУН-6 кВ (8ячеек); блок МВ-35 кВ на блок ВВ-35 кВ - 1 шт</t>
  </si>
  <si>
    <t>Замена: ВВ-35 кВ-3шт., ЭВ-110 кВ - 2шт. Монтаж АВР 35 кВ и АВР 6 кВ</t>
  </si>
  <si>
    <t>Установка ВВ-35 кВ-8шт.. ЭВ-2шт. Установка БСК– 0,4 Мвар на I СШ 6 кВ, и 1,2 Мвар на II СШ 6 кВ.</t>
  </si>
  <si>
    <t>"Согласовано":</t>
  </si>
  <si>
    <t>главный энергетик</t>
  </si>
  <si>
    <t>____________________ Ю.Н. Смирнов</t>
  </si>
  <si>
    <t>Производственная программа энергетики повышения надежности электроснабжения АО "Самаранефтегаз" на 2018-2025 годы</t>
  </si>
  <si>
    <t xml:space="preserve">Строительство двухтрансформаторной 2х25 МВА. </t>
  </si>
  <si>
    <t>Строительство  ВЛ-35 кВ 25 км</t>
  </si>
  <si>
    <t xml:space="preserve">ВЛ - 110 кВ № 1 от ПС 220/110 кВ "Южная" до ПС 110/35/6 "Грековская" </t>
  </si>
  <si>
    <t xml:space="preserve">ВЛ - 110 кВ № 2 от ПС 220/110 кВ "Южная" до ПС 110/35/6 "Грековская" </t>
  </si>
  <si>
    <t>ВЛ - 35 кВ от ПС 110/35/6 "Грековская" до ПС 35/6 "Ветлянская" и ЛЭП 6 кВ</t>
  </si>
  <si>
    <t>Техническое перевооружение  ПС110/35/6кВ "Красногородецкая"</t>
  </si>
  <si>
    <t xml:space="preserve">Заместитель главного инженера - </t>
  </si>
  <si>
    <t>"_____"__________________2018 г.</t>
  </si>
  <si>
    <t>Производственная программа энергетики по обеспечению роста нагрузок АО "Самаранефтегаз" на 2019-2025 годы</t>
  </si>
  <si>
    <t>Заместитель главного энергетика</t>
  </si>
  <si>
    <t>С.А. Ларцев</t>
  </si>
  <si>
    <t>Начальник управления перспективного планирования</t>
  </si>
  <si>
    <t>Ю.Ю. Попов</t>
  </si>
  <si>
    <t>Заместитель генерального директора</t>
  </si>
  <si>
    <t>по развитию производства</t>
  </si>
  <si>
    <t>____________________ О.В. Гладунов</t>
  </si>
  <si>
    <t>ЦЭЭ</t>
  </si>
  <si>
    <t>ПС 35/10 кВ "Лещевская"</t>
  </si>
  <si>
    <t>ВЛ 35/10кВ на Лещевском месторождении</t>
  </si>
  <si>
    <t>1</t>
  </si>
  <si>
    <t>Строительство двухтрансформаторной ПС 2*4,0 МВА.</t>
  </si>
  <si>
    <t>Строительство  ВЛ-35 кВ 51 км</t>
  </si>
  <si>
    <t>Лещевское</t>
  </si>
  <si>
    <t>ПС 35/10кВ  Карабикуловского месторождения</t>
  </si>
  <si>
    <t>ВЛ - 35 кВ  Карабикуловского месторождения</t>
  </si>
  <si>
    <t>Карабикуловское</t>
  </si>
  <si>
    <t>Итого
2019-2021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</si>
</sst>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#,##0.000"/>
    <numFmt numFmtId="165" formatCode="#,##0.0"/>
  </numFmts>
  <fonts count="36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Times New Roman"/>
      <family val="1"/>
      <charset val="204"/>
    </font>
    <font>
      <b/>
      <sz val="11"/>
      <color rgb="FF7030A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B0F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name val="Arial Cyr"/>
      <charset val="204"/>
    </font>
    <font>
      <sz val="10"/>
      <name val="Helv"/>
      <charset val="204"/>
    </font>
    <font>
      <b/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0" tint="-0.34998626667073579"/>
      <name val="Times New Roman"/>
      <family val="1"/>
      <charset val="204"/>
    </font>
    <font>
      <sz val="9"/>
      <color theme="0" tint="-0.34998626667073579"/>
      <name val="Times New Roman"/>
      <family val="1"/>
      <charset val="204"/>
    </font>
    <font>
      <sz val="11"/>
      <color theme="0" tint="-0.34998626667073579"/>
      <name val="Calibri"/>
      <family val="2"/>
      <charset val="204"/>
      <scheme val="minor"/>
    </font>
    <font>
      <sz val="10"/>
      <color rgb="FF000000"/>
      <name val="Europe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 tint="-0.499984740745262"/>
        <bgColor theme="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0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43" fontId="22" fillId="0" borderId="0" applyFont="0" applyFill="0" applyBorder="0" applyAlignment="0" applyProtection="0"/>
  </cellStyleXfs>
  <cellXfs count="345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/>
    <xf numFmtId="164" fontId="4" fillId="0" borderId="0" xfId="0" applyNumberFormat="1" applyFont="1"/>
    <xf numFmtId="0" fontId="6" fillId="2" borderId="0" xfId="0" applyFont="1" applyFill="1"/>
    <xf numFmtId="164" fontId="4" fillId="3" borderId="0" xfId="0" applyNumberFormat="1" applyFont="1" applyFill="1"/>
    <xf numFmtId="0" fontId="4" fillId="0" borderId="0" xfId="0" applyFont="1" applyFill="1"/>
    <xf numFmtId="0" fontId="5" fillId="0" borderId="0" xfId="0" applyFont="1" applyFill="1"/>
    <xf numFmtId="0" fontId="7" fillId="0" borderId="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8" fillId="8" borderId="3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5" borderId="0" xfId="0" applyFont="1" applyFill="1" applyAlignment="1">
      <alignment horizontal="center" vertical="center"/>
    </xf>
    <xf numFmtId="1" fontId="7" fillId="0" borderId="0" xfId="0" applyNumberFormat="1" applyFont="1" applyAlignment="1">
      <alignment horizontal="center" vertical="center" wrapText="1"/>
    </xf>
    <xf numFmtId="0" fontId="7" fillId="8" borderId="0" xfId="0" applyFont="1" applyFill="1" applyAlignment="1">
      <alignment horizontal="center" vertical="center" wrapText="1"/>
    </xf>
    <xf numFmtId="0" fontId="7" fillId="0" borderId="3" xfId="0" applyFont="1" applyBorder="1" applyAlignment="1">
      <alignment vertical="center"/>
    </xf>
    <xf numFmtId="1" fontId="7" fillId="0" borderId="3" xfId="0" applyNumberFormat="1" applyFont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1" fontId="10" fillId="2" borderId="3" xfId="0" applyNumberFormat="1" applyFont="1" applyFill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164" fontId="10" fillId="2" borderId="0" xfId="0" applyNumberFormat="1" applyFont="1" applyFill="1" applyAlignment="1">
      <alignment vertical="center"/>
    </xf>
    <xf numFmtId="0" fontId="10" fillId="4" borderId="3" xfId="0" applyNumberFormat="1" applyFont="1" applyFill="1" applyBorder="1" applyAlignment="1">
      <alignment vertical="center"/>
    </xf>
    <xf numFmtId="0" fontId="10" fillId="7" borderId="3" xfId="0" applyNumberFormat="1" applyFont="1" applyFill="1" applyBorder="1" applyAlignment="1">
      <alignment horizontal="center" vertical="center"/>
    </xf>
    <xf numFmtId="1" fontId="10" fillId="4" borderId="3" xfId="0" applyNumberFormat="1" applyFont="1" applyFill="1" applyBorder="1" applyAlignment="1">
      <alignment horizontal="center" vertical="center" wrapText="1"/>
    </xf>
    <xf numFmtId="0" fontId="10" fillId="9" borderId="3" xfId="0" applyNumberFormat="1" applyFont="1" applyFill="1" applyBorder="1" applyAlignment="1">
      <alignment horizontal="center" vertical="center" wrapText="1"/>
    </xf>
    <xf numFmtId="0" fontId="10" fillId="4" borderId="1" xfId="0" applyNumberFormat="1" applyFont="1" applyFill="1" applyBorder="1" applyAlignment="1">
      <alignment vertical="center"/>
    </xf>
    <xf numFmtId="0" fontId="10" fillId="5" borderId="3" xfId="0" applyFont="1" applyFill="1" applyBorder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0" fontId="7" fillId="8" borderId="3" xfId="0" applyFont="1" applyFill="1" applyBorder="1" applyAlignment="1">
      <alignment vertical="center"/>
    </xf>
    <xf numFmtId="0" fontId="10" fillId="8" borderId="3" xfId="0" applyFont="1" applyFill="1" applyBorder="1" applyAlignment="1">
      <alignment horizontal="center" vertical="center"/>
    </xf>
    <xf numFmtId="1" fontId="7" fillId="8" borderId="3" xfId="0" applyNumberFormat="1" applyFont="1" applyFill="1" applyBorder="1" applyAlignment="1">
      <alignment horizontal="center" vertical="center" wrapText="1"/>
    </xf>
    <xf numFmtId="0" fontId="7" fillId="8" borderId="0" xfId="0" applyFont="1" applyFill="1" applyAlignment="1">
      <alignment vertical="center"/>
    </xf>
    <xf numFmtId="0" fontId="10" fillId="4" borderId="2" xfId="0" applyNumberFormat="1" applyFont="1" applyFill="1" applyBorder="1" applyAlignment="1">
      <alignment vertical="center"/>
    </xf>
    <xf numFmtId="0" fontId="10" fillId="4" borderId="3" xfId="0" applyNumberFormat="1" applyFont="1" applyFill="1" applyBorder="1" applyAlignment="1">
      <alignment vertical="top"/>
    </xf>
    <xf numFmtId="0" fontId="10" fillId="7" borderId="3" xfId="0" applyNumberFormat="1" applyFont="1" applyFill="1" applyBorder="1" applyAlignment="1">
      <alignment vertical="top"/>
    </xf>
    <xf numFmtId="0" fontId="10" fillId="7" borderId="3" xfId="0" applyNumberFormat="1" applyFont="1" applyFill="1" applyBorder="1" applyAlignment="1">
      <alignment vertical="center"/>
    </xf>
    <xf numFmtId="0" fontId="10" fillId="5" borderId="0" xfId="0" applyFont="1" applyFill="1" applyAlignment="1">
      <alignment vertical="center"/>
    </xf>
    <xf numFmtId="1" fontId="10" fillId="2" borderId="0" xfId="0" applyNumberFormat="1" applyFont="1" applyFill="1" applyAlignment="1">
      <alignment horizontal="center" vertical="center" wrapText="1"/>
    </xf>
    <xf numFmtId="1" fontId="11" fillId="2" borderId="0" xfId="0" applyNumberFormat="1" applyFont="1" applyFill="1" applyAlignment="1">
      <alignment horizontal="center" vertical="center" wrapText="1"/>
    </xf>
    <xf numFmtId="0" fontId="10" fillId="8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5" borderId="0" xfId="0" applyFont="1" applyFill="1" applyAlignment="1">
      <alignment horizontal="center" vertical="center"/>
    </xf>
    <xf numFmtId="1" fontId="12" fillId="0" borderId="0" xfId="0" applyNumberFormat="1" applyFont="1" applyAlignment="1">
      <alignment horizontal="center" vertical="center" wrapText="1"/>
    </xf>
    <xf numFmtId="0" fontId="12" fillId="8" borderId="0" xfId="0" applyFont="1" applyFill="1" applyAlignment="1">
      <alignment horizontal="center" vertical="center" wrapText="1"/>
    </xf>
    <xf numFmtId="0" fontId="10" fillId="6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8" fillId="8" borderId="3" xfId="0" applyFont="1" applyFill="1" applyBorder="1" applyAlignment="1">
      <alignment vertical="center" wrapText="1"/>
    </xf>
    <xf numFmtId="0" fontId="8" fillId="8" borderId="3" xfId="0" applyNumberFormat="1" applyFont="1" applyFill="1" applyBorder="1" applyAlignment="1" applyProtection="1">
      <alignment vertical="center" wrapText="1"/>
    </xf>
    <xf numFmtId="0" fontId="7" fillId="8" borderId="3" xfId="0" applyFont="1" applyFill="1" applyBorder="1" applyAlignment="1">
      <alignment vertical="center" wrapText="1"/>
    </xf>
    <xf numFmtId="0" fontId="15" fillId="8" borderId="3" xfId="0" applyFont="1" applyFill="1" applyBorder="1" applyAlignment="1">
      <alignment vertical="center" wrapText="1"/>
    </xf>
    <xf numFmtId="0" fontId="15" fillId="8" borderId="3" xfId="0" applyNumberFormat="1" applyFont="1" applyFill="1" applyBorder="1" applyAlignment="1" applyProtection="1">
      <alignment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2" fillId="2" borderId="3" xfId="0" applyFont="1" applyFill="1" applyBorder="1" applyAlignment="1">
      <alignment vertical="center"/>
    </xf>
    <xf numFmtId="0" fontId="12" fillId="4" borderId="3" xfId="0" applyNumberFormat="1" applyFont="1" applyFill="1" applyBorder="1" applyAlignment="1">
      <alignment vertical="center"/>
    </xf>
    <xf numFmtId="0" fontId="7" fillId="8" borderId="3" xfId="0" applyNumberFormat="1" applyFont="1" applyFill="1" applyBorder="1" applyAlignment="1" applyProtection="1">
      <alignment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12" fillId="2" borderId="0" xfId="0" applyFont="1" applyFill="1" applyAlignment="1">
      <alignment vertical="center"/>
    </xf>
    <xf numFmtId="0" fontId="15" fillId="0" borderId="3" xfId="0" applyFont="1" applyBorder="1" applyAlignment="1">
      <alignment horizontal="center" vertical="center" wrapText="1"/>
    </xf>
    <xf numFmtId="0" fontId="15" fillId="8" borderId="3" xfId="0" applyNumberFormat="1" applyFont="1" applyFill="1" applyBorder="1" applyAlignment="1">
      <alignment vertical="center" wrapText="1"/>
    </xf>
    <xf numFmtId="0" fontId="15" fillId="8" borderId="3" xfId="0" applyFont="1" applyFill="1" applyBorder="1" applyAlignment="1">
      <alignment vertical="center"/>
    </xf>
    <xf numFmtId="0" fontId="10" fillId="2" borderId="3" xfId="0" applyFont="1" applyFill="1" applyBorder="1" applyAlignment="1">
      <alignment horizontal="center" vertical="center"/>
    </xf>
    <xf numFmtId="164" fontId="10" fillId="2" borderId="3" xfId="0" applyNumberFormat="1" applyFont="1" applyFill="1" applyBorder="1" applyAlignment="1">
      <alignment vertical="center"/>
    </xf>
    <xf numFmtId="164" fontId="10" fillId="4" borderId="3" xfId="0" applyNumberFormat="1" applyFont="1" applyFill="1" applyBorder="1" applyAlignment="1">
      <alignment vertical="center"/>
    </xf>
    <xf numFmtId="164" fontId="7" fillId="0" borderId="3" xfId="0" applyNumberFormat="1" applyFont="1" applyBorder="1" applyAlignment="1">
      <alignment vertical="center"/>
    </xf>
    <xf numFmtId="164" fontId="7" fillId="8" borderId="3" xfId="0" applyNumberFormat="1" applyFont="1" applyFill="1" applyBorder="1" applyAlignment="1">
      <alignment vertical="center"/>
    </xf>
    <xf numFmtId="0" fontId="7" fillId="0" borderId="5" xfId="0" applyFont="1" applyBorder="1" applyAlignment="1">
      <alignment vertical="center"/>
    </xf>
    <xf numFmtId="0" fontId="10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vertical="center"/>
    </xf>
    <xf numFmtId="0" fontId="10" fillId="4" borderId="7" xfId="0" applyNumberFormat="1" applyFont="1" applyFill="1" applyBorder="1" applyAlignment="1">
      <alignment horizontal="center" vertical="center"/>
    </xf>
    <xf numFmtId="0" fontId="12" fillId="4" borderId="8" xfId="0" applyNumberFormat="1" applyFont="1" applyFill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0" fillId="8" borderId="8" xfId="0" applyFont="1" applyFill="1" applyBorder="1" applyAlignment="1">
      <alignment vertical="center"/>
    </xf>
    <xf numFmtId="0" fontId="17" fillId="2" borderId="7" xfId="0" applyFont="1" applyFill="1" applyBorder="1" applyAlignment="1">
      <alignment horizontal="center" vertical="center"/>
    </xf>
    <xf numFmtId="0" fontId="0" fillId="8" borderId="8" xfId="0" applyFill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10" fillId="5" borderId="10" xfId="0" applyFont="1" applyFill="1" applyBorder="1" applyAlignment="1">
      <alignment horizontal="center" vertical="center"/>
    </xf>
    <xf numFmtId="1" fontId="7" fillId="0" borderId="10" xfId="0" applyNumberFormat="1" applyFont="1" applyBorder="1" applyAlignment="1">
      <alignment horizontal="center" vertical="center" wrapText="1"/>
    </xf>
    <xf numFmtId="0" fontId="7" fillId="8" borderId="10" xfId="0" applyFont="1" applyFill="1" applyBorder="1" applyAlignment="1">
      <alignment horizontal="center" vertical="center" wrapText="1"/>
    </xf>
    <xf numFmtId="164" fontId="7" fillId="0" borderId="10" xfId="0" applyNumberFormat="1" applyFont="1" applyBorder="1" applyAlignment="1">
      <alignment vertical="center"/>
    </xf>
    <xf numFmtId="0" fontId="8" fillId="8" borderId="10" xfId="0" applyNumberFormat="1" applyFont="1" applyFill="1" applyBorder="1" applyAlignment="1" applyProtection="1">
      <alignment vertical="center" wrapText="1"/>
    </xf>
    <xf numFmtId="0" fontId="0" fillId="8" borderId="11" xfId="0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49" fontId="7" fillId="0" borderId="0" xfId="0" applyNumberFormat="1" applyFont="1" applyAlignment="1">
      <alignment horizontal="center" vertical="center"/>
    </xf>
    <xf numFmtId="0" fontId="7" fillId="11" borderId="0" xfId="0" applyFont="1" applyFill="1" applyAlignment="1">
      <alignment vertical="center"/>
    </xf>
    <xf numFmtId="1" fontId="7" fillId="0" borderId="15" xfId="0" applyNumberFormat="1" applyFont="1" applyBorder="1" applyAlignment="1">
      <alignment horizontal="center" vertical="center" wrapText="1"/>
    </xf>
    <xf numFmtId="0" fontId="7" fillId="12" borderId="0" xfId="0" applyFont="1" applyFill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1" fontId="7" fillId="0" borderId="3" xfId="0" applyNumberFormat="1" applyFont="1" applyBorder="1" applyAlignment="1">
      <alignment horizontal="center" vertical="center" wrapText="1"/>
    </xf>
    <xf numFmtId="3" fontId="19" fillId="14" borderId="3" xfId="0" applyNumberFormat="1" applyFont="1" applyFill="1" applyBorder="1" applyAlignment="1">
      <alignment horizontal="center" vertical="center" wrapText="1"/>
    </xf>
    <xf numFmtId="0" fontId="12" fillId="8" borderId="3" xfId="0" applyFont="1" applyFill="1" applyBorder="1" applyAlignment="1">
      <alignment vertical="center" wrapText="1"/>
    </xf>
    <xf numFmtId="0" fontId="19" fillId="8" borderId="3" xfId="0" applyFont="1" applyFill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7" fillId="8" borderId="0" xfId="0" applyFont="1" applyFill="1" applyBorder="1" applyAlignment="1">
      <alignment vertical="center"/>
    </xf>
    <xf numFmtId="3" fontId="19" fillId="0" borderId="3" xfId="1" applyNumberFormat="1" applyFont="1" applyFill="1" applyBorder="1" applyAlignment="1">
      <alignment horizontal="left" vertical="center" wrapText="1"/>
    </xf>
    <xf numFmtId="3" fontId="19" fillId="14" borderId="12" xfId="0" applyNumberFormat="1" applyFont="1" applyFill="1" applyBorder="1" applyAlignment="1">
      <alignment horizontal="center" vertical="center" wrapText="1"/>
    </xf>
    <xf numFmtId="0" fontId="7" fillId="0" borderId="16" xfId="0" applyNumberFormat="1" applyFont="1" applyBorder="1" applyAlignment="1">
      <alignment horizontal="center" vertical="center"/>
    </xf>
    <xf numFmtId="3" fontId="19" fillId="13" borderId="3" xfId="0" applyNumberFormat="1" applyFont="1" applyFill="1" applyBorder="1" applyAlignment="1">
      <alignment horizontal="left" vertical="center" wrapText="1"/>
    </xf>
    <xf numFmtId="3" fontId="19" fillId="14" borderId="3" xfId="0" applyNumberFormat="1" applyFont="1" applyFill="1" applyBorder="1" applyAlignment="1">
      <alignment vertical="center" wrapText="1"/>
    </xf>
    <xf numFmtId="3" fontId="19" fillId="8" borderId="12" xfId="1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3" fontId="19" fillId="14" borderId="12" xfId="0" applyNumberFormat="1" applyFont="1" applyFill="1" applyBorder="1" applyAlignment="1">
      <alignment horizontal="center" vertical="center" wrapText="1"/>
    </xf>
    <xf numFmtId="3" fontId="19" fillId="13" borderId="12" xfId="0" applyNumberFormat="1" applyFont="1" applyFill="1" applyBorder="1" applyAlignment="1">
      <alignment horizontal="center" vertical="center" wrapText="1"/>
    </xf>
    <xf numFmtId="3" fontId="19" fillId="13" borderId="3" xfId="0" applyNumberFormat="1" applyFont="1" applyFill="1" applyBorder="1" applyAlignment="1">
      <alignment horizontal="center" vertical="center" wrapText="1"/>
    </xf>
    <xf numFmtId="9" fontId="7" fillId="0" borderId="3" xfId="0" applyNumberFormat="1" applyFont="1" applyBorder="1" applyAlignment="1">
      <alignment horizontal="center" vertical="center" wrapText="1"/>
    </xf>
    <xf numFmtId="0" fontId="7" fillId="15" borderId="0" xfId="0" applyFont="1" applyFill="1" applyAlignment="1">
      <alignment vertical="center"/>
    </xf>
    <xf numFmtId="0" fontId="7" fillId="8" borderId="0" xfId="0" applyFont="1" applyFill="1" applyAlignment="1">
      <alignment vertical="center" wrapText="1"/>
    </xf>
    <xf numFmtId="3" fontId="19" fillId="13" borderId="12" xfId="0" applyNumberFormat="1" applyFont="1" applyFill="1" applyBorder="1" applyAlignment="1">
      <alignment horizontal="center" vertical="center" wrapText="1"/>
    </xf>
    <xf numFmtId="3" fontId="19" fillId="13" borderId="12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9" fontId="3" fillId="0" borderId="3" xfId="1" applyNumberFormat="1" applyFont="1" applyFill="1" applyBorder="1" applyAlignment="1">
      <alignment horizontal="center" vertical="center" wrapText="1"/>
    </xf>
    <xf numFmtId="3" fontId="3" fillId="14" borderId="3" xfId="0" applyNumberFormat="1" applyFont="1" applyFill="1" applyBorder="1" applyAlignment="1">
      <alignment horizontal="center" vertical="center" wrapText="1"/>
    </xf>
    <xf numFmtId="3" fontId="3" fillId="0" borderId="3" xfId="1" applyNumberFormat="1" applyFont="1" applyFill="1" applyBorder="1" applyAlignment="1">
      <alignment horizontal="center" vertical="center" wrapText="1"/>
    </xf>
    <xf numFmtId="0" fontId="19" fillId="8" borderId="3" xfId="0" applyFont="1" applyFill="1" applyBorder="1" applyAlignment="1">
      <alignment vertical="center" wrapText="1"/>
    </xf>
    <xf numFmtId="49" fontId="12" fillId="8" borderId="3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8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8" borderId="3" xfId="0" applyFont="1" applyFill="1" applyBorder="1" applyAlignment="1">
      <alignment horizontal="center" vertical="center" wrapText="1"/>
    </xf>
    <xf numFmtId="0" fontId="12" fillId="8" borderId="3" xfId="0" applyFont="1" applyFill="1" applyBorder="1" applyAlignment="1">
      <alignment horizontal="left" vertical="center" wrapText="1"/>
    </xf>
    <xf numFmtId="0" fontId="19" fillId="8" borderId="3" xfId="0" applyFont="1" applyFill="1" applyBorder="1" applyAlignment="1">
      <alignment horizontal="left" vertical="center" wrapText="1"/>
    </xf>
    <xf numFmtId="9" fontId="7" fillId="8" borderId="3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 wrapText="1"/>
    </xf>
    <xf numFmtId="1" fontId="7" fillId="0" borderId="3" xfId="0" applyNumberFormat="1" applyFont="1" applyBorder="1" applyAlignment="1">
      <alignment horizontal="center" vertical="center" wrapText="1"/>
    </xf>
    <xf numFmtId="1" fontId="7" fillId="0" borderId="15" xfId="0" applyNumberFormat="1" applyFont="1" applyBorder="1" applyAlignment="1">
      <alignment horizontal="center" vertical="center" wrapText="1"/>
    </xf>
    <xf numFmtId="3" fontId="19" fillId="14" borderId="3" xfId="0" applyNumberFormat="1" applyFont="1" applyFill="1" applyBorder="1" applyAlignment="1">
      <alignment horizontal="center" vertical="center" wrapText="1"/>
    </xf>
    <xf numFmtId="0" fontId="7" fillId="8" borderId="0" xfId="0" applyFont="1" applyFill="1" applyAlignment="1">
      <alignment vertical="center"/>
    </xf>
    <xf numFmtId="0" fontId="12" fillId="0" borderId="3" xfId="0" applyFont="1" applyBorder="1" applyAlignment="1">
      <alignment horizontal="left" vertical="center" wrapText="1"/>
    </xf>
    <xf numFmtId="0" fontId="12" fillId="8" borderId="3" xfId="0" applyFont="1" applyFill="1" applyBorder="1" applyAlignment="1">
      <alignment horizontal="left" vertical="center" wrapText="1"/>
    </xf>
    <xf numFmtId="9" fontId="2" fillId="0" borderId="3" xfId="1" applyNumberFormat="1" applyFont="1" applyFill="1" applyBorder="1" applyAlignment="1">
      <alignment horizontal="center" vertical="center" wrapText="1"/>
    </xf>
    <xf numFmtId="3" fontId="19" fillId="14" borderId="3" xfId="0" applyNumberFormat="1" applyFont="1" applyFill="1" applyBorder="1" applyAlignment="1">
      <alignment horizontal="center" vertical="center" wrapText="1"/>
    </xf>
    <xf numFmtId="3" fontId="19" fillId="13" borderId="12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" fontId="7" fillId="0" borderId="3" xfId="0" applyNumberFormat="1" applyFont="1" applyBorder="1" applyAlignment="1">
      <alignment horizontal="center" vertical="center" wrapText="1"/>
    </xf>
    <xf numFmtId="3" fontId="19" fillId="13" borderId="12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3" fontId="19" fillId="13" borderId="12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3" fontId="19" fillId="0" borderId="12" xfId="1" applyNumberFormat="1" applyFont="1" applyFill="1" applyBorder="1" applyAlignment="1">
      <alignment horizontal="center" vertical="center" wrapText="1"/>
    </xf>
    <xf numFmtId="3" fontId="19" fillId="14" borderId="3" xfId="0" applyNumberFormat="1" applyFont="1" applyFill="1" applyBorder="1" applyAlignment="1">
      <alignment horizontal="center" vertical="center" wrapText="1"/>
    </xf>
    <xf numFmtId="3" fontId="19" fillId="8" borderId="3" xfId="1" applyNumberFormat="1" applyFont="1" applyFill="1" applyBorder="1" applyAlignment="1">
      <alignment horizontal="center" vertical="center" wrapText="1"/>
    </xf>
    <xf numFmtId="3" fontId="19" fillId="14" borderId="3" xfId="0" applyNumberFormat="1" applyFont="1" applyFill="1" applyBorder="1" applyAlignment="1">
      <alignment horizontal="center" vertical="center" wrapText="1"/>
    </xf>
    <xf numFmtId="3" fontId="19" fillId="0" borderId="3" xfId="1" applyNumberFormat="1" applyFont="1" applyFill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/>
    </xf>
    <xf numFmtId="3" fontId="19" fillId="13" borderId="12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Alignment="1">
      <alignment vertical="center" wrapText="1"/>
    </xf>
    <xf numFmtId="49" fontId="7" fillId="0" borderId="0" xfId="0" applyNumberFormat="1" applyFont="1" applyAlignment="1">
      <alignment vertical="center"/>
    </xf>
    <xf numFmtId="3" fontId="19" fillId="14" borderId="3" xfId="0" applyNumberFormat="1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left" vertical="center" wrapText="1"/>
    </xf>
    <xf numFmtId="0" fontId="7" fillId="8" borderId="0" xfId="0" applyFont="1" applyFill="1" applyAlignment="1">
      <alignment horizontal="left" vertical="center" wrapText="1"/>
    </xf>
    <xf numFmtId="3" fontId="0" fillId="0" borderId="3" xfId="0" applyNumberFormat="1" applyBorder="1"/>
    <xf numFmtId="1" fontId="7" fillId="8" borderId="15" xfId="0" applyNumberFormat="1" applyFont="1" applyFill="1" applyBorder="1" applyAlignment="1">
      <alignment horizontal="center" vertical="center" wrapText="1"/>
    </xf>
    <xf numFmtId="0" fontId="7" fillId="8" borderId="16" xfId="0" applyNumberFormat="1" applyFont="1" applyFill="1" applyBorder="1" applyAlignment="1">
      <alignment horizontal="center" vertical="center"/>
    </xf>
    <xf numFmtId="1" fontId="7" fillId="8" borderId="0" xfId="0" applyNumberFormat="1" applyFont="1" applyFill="1" applyAlignment="1">
      <alignment vertical="center" wrapText="1"/>
    </xf>
    <xf numFmtId="0" fontId="7" fillId="8" borderId="3" xfId="0" applyFont="1" applyFill="1" applyBorder="1" applyAlignment="1">
      <alignment horizontal="center" vertical="center" wrapText="1"/>
    </xf>
    <xf numFmtId="1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3" fontId="19" fillId="13" borderId="12" xfId="0" applyNumberFormat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" fontId="7" fillId="0" borderId="18" xfId="0" applyNumberFormat="1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justify" vertical="center" wrapText="1"/>
    </xf>
    <xf numFmtId="0" fontId="26" fillId="0" borderId="26" xfId="0" applyFont="1" applyBorder="1" applyAlignment="1">
      <alignment horizontal="center" vertical="center"/>
    </xf>
    <xf numFmtId="4" fontId="26" fillId="0" borderId="26" xfId="0" applyNumberFormat="1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3" fontId="19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8" borderId="3" xfId="0" applyFont="1" applyFill="1" applyBorder="1" applyAlignment="1">
      <alignment horizontal="center" vertical="center" wrapText="1"/>
    </xf>
    <xf numFmtId="3" fontId="19" fillId="8" borderId="3" xfId="0" applyNumberFormat="1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3" fontId="19" fillId="13" borderId="12" xfId="0" applyNumberFormat="1" applyFont="1" applyFill="1" applyBorder="1" applyAlignment="1">
      <alignment horizontal="center" vertical="center" wrapText="1"/>
    </xf>
    <xf numFmtId="0" fontId="7" fillId="16" borderId="0" xfId="0" applyFont="1" applyFill="1" applyAlignment="1">
      <alignment vertical="center"/>
    </xf>
    <xf numFmtId="0" fontId="28" fillId="16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0" fontId="30" fillId="0" borderId="0" xfId="0" applyFont="1" applyBorder="1" applyAlignment="1">
      <alignment vertical="center" wrapText="1"/>
    </xf>
    <xf numFmtId="0" fontId="28" fillId="16" borderId="0" xfId="0" applyFont="1" applyFill="1" applyBorder="1" applyAlignment="1">
      <alignment vertical="center"/>
    </xf>
    <xf numFmtId="0" fontId="7" fillId="16" borderId="0" xfId="0" applyFont="1" applyFill="1" applyBorder="1" applyAlignment="1">
      <alignment vertical="center"/>
    </xf>
    <xf numFmtId="0" fontId="29" fillId="16" borderId="0" xfId="0" applyFont="1" applyFill="1" applyBorder="1" applyAlignment="1">
      <alignment horizontal="left" vertical="center" wrapText="1" readingOrder="1"/>
    </xf>
    <xf numFmtId="0" fontId="29" fillId="16" borderId="0" xfId="0" applyFont="1" applyFill="1" applyBorder="1" applyAlignment="1">
      <alignment horizontal="center" vertical="center" wrapText="1" readingOrder="1"/>
    </xf>
    <xf numFmtId="0" fontId="29" fillId="16" borderId="0" xfId="0" applyFont="1" applyFill="1" applyBorder="1" applyAlignment="1">
      <alignment horizontal="right" vertical="center" wrapText="1" readingOrder="1"/>
    </xf>
    <xf numFmtId="3" fontId="29" fillId="16" borderId="0" xfId="0" applyNumberFormat="1" applyFont="1" applyFill="1" applyBorder="1" applyAlignment="1">
      <alignment horizontal="right" vertical="center" wrapText="1" readingOrder="1"/>
    </xf>
    <xf numFmtId="0" fontId="7" fillId="11" borderId="0" xfId="0" applyFont="1" applyFill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7" fillId="12" borderId="0" xfId="0" applyFont="1" applyFill="1" applyBorder="1" applyAlignment="1">
      <alignment vertical="center"/>
    </xf>
    <xf numFmtId="3" fontId="19" fillId="13" borderId="12" xfId="0" applyNumberFormat="1" applyFont="1" applyFill="1" applyBorder="1" applyAlignment="1">
      <alignment horizontal="center" vertical="center" wrapText="1"/>
    </xf>
    <xf numFmtId="165" fontId="19" fillId="8" borderId="3" xfId="1" applyNumberFormat="1" applyFont="1" applyFill="1" applyBorder="1" applyAlignment="1">
      <alignment horizontal="center" vertical="center" wrapText="1"/>
    </xf>
    <xf numFmtId="3" fontId="19" fillId="8" borderId="3" xfId="1" applyNumberFormat="1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1" fontId="7" fillId="0" borderId="3" xfId="0" applyNumberFormat="1" applyFont="1" applyBorder="1" applyAlignment="1">
      <alignment horizontal="center" vertical="center" wrapText="1"/>
    </xf>
    <xf numFmtId="1" fontId="7" fillId="0" borderId="13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49" fontId="7" fillId="0" borderId="19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90" wrapText="1"/>
    </xf>
    <xf numFmtId="3" fontId="19" fillId="11" borderId="3" xfId="1" applyNumberFormat="1" applyFont="1" applyFill="1" applyBorder="1" applyAlignment="1">
      <alignment horizontal="center" vertical="center" wrapText="1"/>
    </xf>
    <xf numFmtId="1" fontId="7" fillId="0" borderId="13" xfId="0" applyNumberFormat="1" applyFont="1" applyBorder="1" applyAlignment="1">
      <alignment horizontal="center" vertical="center" wrapText="1"/>
    </xf>
    <xf numFmtId="3" fontId="19" fillId="13" borderId="12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 wrapText="1"/>
    </xf>
    <xf numFmtId="3" fontId="19" fillId="0" borderId="3" xfId="1" applyNumberFormat="1" applyFont="1" applyFill="1" applyBorder="1" applyAlignment="1">
      <alignment horizontal="center" vertical="center" wrapText="1"/>
    </xf>
    <xf numFmtId="3" fontId="19" fillId="8" borderId="3" xfId="1" applyNumberFormat="1" applyFont="1" applyFill="1" applyBorder="1" applyAlignment="1">
      <alignment horizontal="center" vertical="center" wrapText="1"/>
    </xf>
    <xf numFmtId="3" fontId="2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Alignment="1">
      <alignment vertical="center"/>
    </xf>
    <xf numFmtId="0" fontId="7" fillId="8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3" fontId="19" fillId="13" borderId="12" xfId="0" applyNumberFormat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9" fontId="7" fillId="0" borderId="3" xfId="0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vertical="center"/>
    </xf>
    <xf numFmtId="0" fontId="28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horizontal="left" vertical="center" wrapText="1" readingOrder="1"/>
    </xf>
    <xf numFmtId="0" fontId="29" fillId="0" borderId="0" xfId="0" applyFont="1" applyFill="1" applyBorder="1" applyAlignment="1">
      <alignment horizontal="center" vertical="center" wrapText="1" readingOrder="1"/>
    </xf>
    <xf numFmtId="3" fontId="29" fillId="0" borderId="0" xfId="0" applyNumberFormat="1" applyFont="1" applyFill="1" applyBorder="1" applyAlignment="1">
      <alignment horizontal="right" vertical="center" wrapText="1" readingOrder="1"/>
    </xf>
    <xf numFmtId="0" fontId="7" fillId="0" borderId="0" xfId="0" applyFont="1" applyFill="1" applyBorder="1" applyAlignment="1">
      <alignment vertical="center"/>
    </xf>
    <xf numFmtId="0" fontId="19" fillId="0" borderId="3" xfId="0" applyFont="1" applyFill="1" applyBorder="1" applyAlignment="1">
      <alignment horizontal="center" vertical="center" wrapText="1"/>
    </xf>
    <xf numFmtId="3" fontId="32" fillId="0" borderId="3" xfId="0" applyNumberFormat="1" applyFont="1" applyFill="1" applyBorder="1" applyAlignment="1" applyProtection="1">
      <alignment horizontal="center" vertical="center" wrapText="1"/>
      <protection locked="0"/>
    </xf>
    <xf numFmtId="3" fontId="27" fillId="0" borderId="3" xfId="0" applyNumberFormat="1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right" vertical="center" wrapText="1" readingOrder="1"/>
    </xf>
    <xf numFmtId="0" fontId="12" fillId="0" borderId="3" xfId="0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3" fontId="19" fillId="13" borderId="12" xfId="0" applyNumberFormat="1" applyFont="1" applyFill="1" applyBorder="1" applyAlignment="1">
      <alignment horizontal="center" vertical="center" wrapText="1"/>
    </xf>
    <xf numFmtId="0" fontId="33" fillId="8" borderId="0" xfId="0" applyFont="1" applyFill="1" applyAlignment="1">
      <alignment horizontal="left"/>
    </xf>
    <xf numFmtId="0" fontId="33" fillId="8" borderId="0" xfId="0" applyFont="1" applyFill="1" applyAlignment="1">
      <alignment horizontal="justify"/>
    </xf>
    <xf numFmtId="0" fontId="33" fillId="8" borderId="0" xfId="0" applyFont="1" applyFill="1" applyBorder="1" applyAlignment="1">
      <alignment horizontal="left" vertical="center"/>
    </xf>
    <xf numFmtId="49" fontId="34" fillId="8" borderId="0" xfId="0" applyNumberFormat="1" applyFont="1" applyFill="1" applyBorder="1" applyAlignment="1">
      <alignment horizontal="center" vertical="center"/>
    </xf>
    <xf numFmtId="0" fontId="34" fillId="8" borderId="0" xfId="0" applyFont="1" applyFill="1" applyBorder="1" applyAlignment="1">
      <alignment horizontal="justify" vertical="center"/>
    </xf>
    <xf numFmtId="0" fontId="33" fillId="8" borderId="0" xfId="0" applyFont="1" applyFill="1" applyAlignment="1">
      <alignment horizontal="right"/>
    </xf>
    <xf numFmtId="0" fontId="0" fillId="8" borderId="0" xfId="0" applyFont="1" applyFill="1"/>
    <xf numFmtId="49" fontId="35" fillId="0" borderId="0" xfId="0" applyNumberFormat="1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vertical="center" wrapText="1"/>
    </xf>
    <xf numFmtId="0" fontId="35" fillId="8" borderId="0" xfId="0" applyFont="1" applyFill="1" applyAlignment="1">
      <alignment horizontal="center" vertical="center" wrapText="1"/>
    </xf>
    <xf numFmtId="0" fontId="35" fillId="0" borderId="0" xfId="0" applyFont="1" applyAlignment="1">
      <alignment vertical="center"/>
    </xf>
    <xf numFmtId="0" fontId="35" fillId="8" borderId="0" xfId="0" applyFont="1" applyFill="1" applyAlignment="1">
      <alignment vertical="center" wrapText="1"/>
    </xf>
    <xf numFmtId="1" fontId="35" fillId="0" borderId="0" xfId="0" applyNumberFormat="1" applyFont="1" applyAlignment="1">
      <alignment horizontal="center" vertical="center" wrapText="1"/>
    </xf>
    <xf numFmtId="3" fontId="19" fillId="13" borderId="12" xfId="0" applyNumberFormat="1" applyFont="1" applyFill="1" applyBorder="1" applyAlignment="1">
      <alignment horizontal="center" vertical="center" wrapText="1"/>
    </xf>
    <xf numFmtId="3" fontId="31" fillId="0" borderId="3" xfId="0" applyNumberFormat="1" applyFont="1" applyFill="1" applyBorder="1" applyAlignment="1">
      <alignment horizontal="center" vertical="center" readingOrder="1"/>
    </xf>
    <xf numFmtId="0" fontId="12" fillId="17" borderId="3" xfId="0" applyFont="1" applyFill="1" applyBorder="1" applyAlignment="1">
      <alignment horizontal="left" vertical="center" wrapText="1"/>
    </xf>
    <xf numFmtId="0" fontId="12" fillId="6" borderId="3" xfId="0" applyFont="1" applyFill="1" applyBorder="1" applyAlignment="1">
      <alignment horizontal="left" vertical="center" wrapText="1"/>
    </xf>
    <xf numFmtId="0" fontId="19" fillId="17" borderId="3" xfId="0" applyFont="1" applyFill="1" applyBorder="1" applyAlignment="1">
      <alignment horizontal="left" vertical="center" wrapText="1"/>
    </xf>
    <xf numFmtId="3" fontId="19" fillId="0" borderId="3" xfId="1" applyNumberFormat="1" applyFont="1" applyFill="1" applyBorder="1" applyAlignment="1">
      <alignment horizontal="center" vertical="center" wrapText="1"/>
    </xf>
    <xf numFmtId="3" fontId="19" fillId="13" borderId="1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3" fontId="19" fillId="0" borderId="3" xfId="1" applyNumberFormat="1" applyFont="1" applyFill="1" applyBorder="1" applyAlignment="1">
      <alignment horizontal="center" vertical="center" wrapText="1"/>
    </xf>
    <xf numFmtId="3" fontId="19" fillId="13" borderId="1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3" fontId="32" fillId="0" borderId="12" xfId="0" applyNumberFormat="1" applyFont="1" applyFill="1" applyBorder="1" applyAlignment="1" applyProtection="1">
      <alignment horizontal="center" vertical="center" wrapText="1"/>
      <protection locked="0"/>
    </xf>
    <xf numFmtId="9" fontId="3" fillId="0" borderId="12" xfId="1" applyNumberFormat="1" applyFont="1" applyFill="1" applyBorder="1" applyAlignment="1">
      <alignment horizontal="center" vertical="center" wrapText="1"/>
    </xf>
    <xf numFmtId="3" fontId="27" fillId="0" borderId="12" xfId="0" applyNumberFormat="1" applyFont="1" applyFill="1" applyBorder="1" applyAlignment="1">
      <alignment horizontal="center" vertical="center"/>
    </xf>
    <xf numFmtId="0" fontId="8" fillId="8" borderId="3" xfId="0" applyNumberFormat="1" applyFont="1" applyFill="1" applyBorder="1" applyAlignment="1" applyProtection="1">
      <alignment horizontal="center" vertical="center" wrapText="1"/>
    </xf>
    <xf numFmtId="0" fontId="0" fillId="8" borderId="8" xfId="0" applyFill="1" applyBorder="1" applyAlignment="1">
      <alignment horizontal="center" vertical="center"/>
    </xf>
    <xf numFmtId="0" fontId="15" fillId="8" borderId="3" xfId="0" applyNumberFormat="1" applyFont="1" applyFill="1" applyBorder="1" applyAlignment="1" applyProtection="1">
      <alignment horizontal="center" vertical="center" wrapText="1"/>
    </xf>
    <xf numFmtId="0" fontId="7" fillId="8" borderId="3" xfId="0" applyNumberFormat="1" applyFont="1" applyFill="1" applyBorder="1" applyAlignment="1" applyProtection="1">
      <alignment horizontal="center" vertical="center" wrapText="1"/>
    </xf>
    <xf numFmtId="0" fontId="0" fillId="8" borderId="8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8" fillId="10" borderId="5" xfId="0" applyFont="1" applyFill="1" applyBorder="1" applyAlignment="1">
      <alignment vertical="center" wrapText="1"/>
    </xf>
    <xf numFmtId="0" fontId="18" fillId="10" borderId="3" xfId="0" applyFont="1" applyFill="1" applyBorder="1" applyAlignment="1">
      <alignment vertical="center" wrapText="1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1" fontId="12" fillId="0" borderId="0" xfId="0" applyNumberFormat="1" applyFont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 wrapText="1"/>
    </xf>
    <xf numFmtId="1" fontId="13" fillId="6" borderId="0" xfId="0" applyNumberFormat="1" applyFont="1" applyFill="1" applyAlignment="1">
      <alignment horizontal="center" vertical="center" wrapText="1"/>
    </xf>
    <xf numFmtId="1" fontId="7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3" fontId="19" fillId="13" borderId="12" xfId="0" applyNumberFormat="1" applyFont="1" applyFill="1" applyBorder="1" applyAlignment="1">
      <alignment horizontal="left" vertical="center" wrapText="1"/>
    </xf>
    <xf numFmtId="3" fontId="19" fillId="13" borderId="2" xfId="0" applyNumberFormat="1" applyFont="1" applyFill="1" applyBorder="1" applyAlignment="1">
      <alignment horizontal="left" vertical="center" wrapText="1"/>
    </xf>
    <xf numFmtId="3" fontId="19" fillId="13" borderId="18" xfId="0" applyNumberFormat="1" applyFont="1" applyFill="1" applyBorder="1" applyAlignment="1">
      <alignment horizontal="left" vertical="center" wrapText="1"/>
    </xf>
    <xf numFmtId="3" fontId="19" fillId="14" borderId="12" xfId="0" applyNumberFormat="1" applyFont="1" applyFill="1" applyBorder="1" applyAlignment="1">
      <alignment horizontal="left" vertical="center" wrapText="1"/>
    </xf>
    <xf numFmtId="3" fontId="19" fillId="14" borderId="2" xfId="0" applyNumberFormat="1" applyFont="1" applyFill="1" applyBorder="1" applyAlignment="1">
      <alignment horizontal="left" vertical="center" wrapText="1"/>
    </xf>
    <xf numFmtId="3" fontId="19" fillId="14" borderId="18" xfId="0" applyNumberFormat="1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textRotation="90" wrapText="1"/>
    </xf>
    <xf numFmtId="0" fontId="7" fillId="0" borderId="20" xfId="0" applyFont="1" applyBorder="1" applyAlignment="1">
      <alignment horizontal="center" vertical="center" textRotation="90" wrapText="1"/>
    </xf>
    <xf numFmtId="0" fontId="7" fillId="0" borderId="13" xfId="0" applyFont="1" applyBorder="1" applyAlignment="1">
      <alignment horizontal="center" vertical="center" textRotation="90" wrapText="1"/>
    </xf>
    <xf numFmtId="49" fontId="24" fillId="0" borderId="1" xfId="0" applyNumberFormat="1" applyFont="1" applyBorder="1" applyAlignment="1">
      <alignment horizontal="center" vertical="center"/>
    </xf>
    <xf numFmtId="49" fontId="7" fillId="0" borderId="14" xfId="0" applyNumberFormat="1" applyFont="1" applyBorder="1" applyAlignment="1">
      <alignment horizontal="center" vertical="center" wrapText="1"/>
    </xf>
    <xf numFmtId="49" fontId="7" fillId="0" borderId="20" xfId="0" applyNumberFormat="1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" fontId="7" fillId="0" borderId="22" xfId="0" applyNumberFormat="1" applyFont="1" applyBorder="1" applyAlignment="1">
      <alignment horizontal="center" vertical="center" wrapText="1"/>
    </xf>
    <xf numFmtId="1" fontId="7" fillId="0" borderId="21" xfId="0" applyNumberFormat="1" applyFont="1" applyBorder="1" applyAlignment="1">
      <alignment horizontal="center" vertical="center" wrapText="1"/>
    </xf>
    <xf numFmtId="1" fontId="7" fillId="0" borderId="19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1" fontId="7" fillId="0" borderId="12" xfId="0" applyNumberFormat="1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 wrapText="1"/>
    </xf>
    <xf numFmtId="0" fontId="7" fillId="8" borderId="17" xfId="0" applyFont="1" applyFill="1" applyBorder="1" applyAlignment="1">
      <alignment horizontal="center" vertical="center" wrapText="1"/>
    </xf>
    <xf numFmtId="0" fontId="7" fillId="8" borderId="15" xfId="0" applyFont="1" applyFill="1" applyBorder="1" applyAlignment="1">
      <alignment horizontal="center" vertical="center" wrapText="1"/>
    </xf>
    <xf numFmtId="0" fontId="29" fillId="16" borderId="0" xfId="0" applyFont="1" applyFill="1" applyBorder="1" applyAlignment="1">
      <alignment horizontal="center" vertical="center" wrapText="1" readingOrder="1"/>
    </xf>
    <xf numFmtId="0" fontId="7" fillId="8" borderId="14" xfId="0" applyFont="1" applyFill="1" applyBorder="1" applyAlignment="1">
      <alignment horizontal="center" vertical="center" wrapText="1"/>
    </xf>
    <xf numFmtId="0" fontId="7" fillId="8" borderId="20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1" fontId="7" fillId="0" borderId="14" xfId="0" applyNumberFormat="1" applyFont="1" applyBorder="1" applyAlignment="1">
      <alignment horizontal="center" vertical="center" wrapText="1"/>
    </xf>
    <xf numFmtId="1" fontId="7" fillId="0" borderId="20" xfId="0" applyNumberFormat="1" applyFont="1" applyBorder="1" applyAlignment="1">
      <alignment horizontal="center" vertical="center" wrapText="1"/>
    </xf>
    <xf numFmtId="1" fontId="7" fillId="0" borderId="13" xfId="0" applyNumberFormat="1" applyFont="1" applyBorder="1" applyAlignment="1">
      <alignment horizontal="center" vertical="center" wrapText="1"/>
    </xf>
    <xf numFmtId="3" fontId="19" fillId="13" borderId="12" xfId="0" applyNumberFormat="1" applyFont="1" applyFill="1" applyBorder="1" applyAlignment="1">
      <alignment horizontal="center" vertical="center" wrapText="1"/>
    </xf>
    <xf numFmtId="3" fontId="19" fillId="13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26" fillId="0" borderId="27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3" fontId="26" fillId="0" borderId="27" xfId="0" applyNumberFormat="1" applyFont="1" applyBorder="1" applyAlignment="1">
      <alignment horizontal="center" vertical="center" wrapText="1"/>
    </xf>
    <xf numFmtId="3" fontId="26" fillId="0" borderId="24" xfId="0" applyNumberFormat="1" applyFont="1" applyBorder="1" applyAlignment="1">
      <alignment horizontal="center" vertical="center" wrapText="1"/>
    </xf>
    <xf numFmtId="1" fontId="7" fillId="0" borderId="18" xfId="0" applyNumberFormat="1" applyFont="1" applyBorder="1" applyAlignment="1">
      <alignment horizontal="center" vertical="center" wrapText="1"/>
    </xf>
    <xf numFmtId="1" fontId="7" fillId="0" borderId="12" xfId="0" applyNumberFormat="1" applyFont="1" applyBorder="1" applyAlignment="1">
      <alignment vertical="center" wrapText="1"/>
    </xf>
    <xf numFmtId="1" fontId="7" fillId="0" borderId="2" xfId="0" applyNumberFormat="1" applyFont="1" applyBorder="1" applyAlignment="1">
      <alignment vertical="center" wrapText="1"/>
    </xf>
  </cellXfs>
  <cellStyles count="8">
    <cellStyle name="TableStyleLight1" xfId="2"/>
    <cellStyle name="Обычный" xfId="0" builtinId="0"/>
    <cellStyle name="Обычный 2 3" xfId="3"/>
    <cellStyle name="Обычный 5" xfId="4"/>
    <cellStyle name="Обычный 8" xfId="5"/>
    <cellStyle name="Обычный 99" xfId="1"/>
    <cellStyle name="Стиль 1" xfId="6"/>
    <cellStyle name="Финансовый 2" xfId="7"/>
  </cellStyles>
  <dxfs count="4">
    <dxf>
      <font>
        <color theme="0"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5.xml"/><Relationship Id="rId13" Type="http://schemas.openxmlformats.org/officeDocument/2006/relationships/worksheet" Target="worksheets/sheet5.xml"/><Relationship Id="rId18" Type="http://schemas.openxmlformats.org/officeDocument/2006/relationships/externalLink" Target="externalLinks/externalLink4.xml"/><Relationship Id="rId3" Type="http://schemas.openxmlformats.org/officeDocument/2006/relationships/chartsheet" Target="chartsheets/sheet1.xml"/><Relationship Id="rId21" Type="http://schemas.openxmlformats.org/officeDocument/2006/relationships/theme" Target="theme/theme1.xml"/><Relationship Id="rId7" Type="http://schemas.openxmlformats.org/officeDocument/2006/relationships/worksheet" Target="worksheets/sheet3.xml"/><Relationship Id="rId12" Type="http://schemas.openxmlformats.org/officeDocument/2006/relationships/worksheet" Target="worksheets/sheet4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1" Type="http://schemas.openxmlformats.org/officeDocument/2006/relationships/chartsheet" Target="chartsheets/sheet8.xml"/><Relationship Id="rId24" Type="http://schemas.openxmlformats.org/officeDocument/2006/relationships/calcChain" Target="calcChain.xml"/><Relationship Id="rId5" Type="http://schemas.openxmlformats.org/officeDocument/2006/relationships/chartsheet" Target="chartsheets/sheet3.xml"/><Relationship Id="rId15" Type="http://schemas.openxmlformats.org/officeDocument/2006/relationships/externalLink" Target="externalLinks/externalLink1.xml"/><Relationship Id="rId23" Type="http://schemas.openxmlformats.org/officeDocument/2006/relationships/sharedStrings" Target="sharedStrings.xml"/><Relationship Id="rId10" Type="http://schemas.openxmlformats.org/officeDocument/2006/relationships/chartsheet" Target="chartsheets/sheet7.xml"/><Relationship Id="rId19" Type="http://schemas.openxmlformats.org/officeDocument/2006/relationships/externalLink" Target="externalLinks/externalLink5.xml"/><Relationship Id="rId4" Type="http://schemas.openxmlformats.org/officeDocument/2006/relationships/chartsheet" Target="chartsheets/sheet2.xml"/><Relationship Id="rId9" Type="http://schemas.openxmlformats.org/officeDocument/2006/relationships/chartsheet" Target="chartsheets/sheet6.xml"/><Relationship Id="rId14" Type="http://schemas.openxmlformats.org/officeDocument/2006/relationships/worksheet" Target="worksheets/sheet6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9764798674026"/>
          <c:y val="4.3979057591622767E-2"/>
          <c:w val="0.5979498646548308"/>
          <c:h val="0.91623036649214651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9.6599318544318025E-2"/>
                  <c:y val="0.21280339695757924"/>
                </c:manualLayout>
              </c:layout>
              <c:spPr/>
              <c:txPr>
                <a:bodyPr/>
                <a:lstStyle/>
                <a:p>
                  <a:pPr>
                    <a:defRPr sz="2000">
                      <a:solidFill>
                        <a:schemeClr val="bg1"/>
                      </a:solidFill>
                    </a:defRPr>
                  </a:pPr>
                  <a:endParaRPr lang="ru-RU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0.15399012953598676"/>
                  <c:y val="-0.11968025724533179"/>
                </c:manualLayout>
              </c:layout>
              <c:spPr/>
              <c:txPr>
                <a:bodyPr/>
                <a:lstStyle/>
                <a:p>
                  <a:pPr>
                    <a:defRPr sz="2000">
                      <a:solidFill>
                        <a:schemeClr val="bg1"/>
                      </a:solidFill>
                    </a:defRPr>
                  </a:pPr>
                  <a:endParaRPr lang="ru-RU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12047582657522229"/>
                  <c:y val="-0.2104712041884835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11065380681100996"/>
                  <c:y val="-1.1285876689842701E-2"/>
                </c:manualLayout>
              </c:layout>
              <c:spPr/>
              <c:txPr>
                <a:bodyPr/>
                <a:lstStyle/>
                <a:p>
                  <a:pPr>
                    <a:defRPr sz="2000">
                      <a:solidFill>
                        <a:schemeClr val="bg1"/>
                      </a:solidFill>
                    </a:defRPr>
                  </a:pPr>
                  <a:endParaRPr lang="ru-RU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0.10560192033400706"/>
                  <c:y val="5.403317645390712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0.10156193921181172"/>
                  <c:y val="0.2125654450261812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2000"/>
                </a:pPr>
                <a:endParaRPr lang="ru-RU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'Свод по цехам_Инвестиции'!$A$2:$A$7</c:f>
              <c:strCache>
                <c:ptCount val="6"/>
                <c:pt idx="0">
                  <c:v>Цех 1</c:v>
                </c:pt>
                <c:pt idx="1">
                  <c:v>Цех 2</c:v>
                </c:pt>
                <c:pt idx="2">
                  <c:v>Цех 3</c:v>
                </c:pt>
                <c:pt idx="3">
                  <c:v>Цех 4</c:v>
                </c:pt>
                <c:pt idx="4">
                  <c:v>Цех 5</c:v>
                </c:pt>
                <c:pt idx="5">
                  <c:v>Цех 6</c:v>
                </c:pt>
              </c:strCache>
            </c:strRef>
          </c:cat>
          <c:val>
            <c:numRef>
              <c:f>'Свод по цехам_Инвестиции'!$R$2:$R$7</c:f>
              <c:numCache>
                <c:formatCode>#,##0.000</c:formatCode>
                <c:ptCount val="6"/>
                <c:pt idx="0">
                  <c:v>2944028.6898561148</c:v>
                </c:pt>
                <c:pt idx="1">
                  <c:v>5413415.4886491345</c:v>
                </c:pt>
                <c:pt idx="2">
                  <c:v>4334154.0894662905</c:v>
                </c:pt>
                <c:pt idx="3">
                  <c:v>1005431.9383397765</c:v>
                </c:pt>
                <c:pt idx="4">
                  <c:v>1189457.2938937161</c:v>
                </c:pt>
                <c:pt idx="5">
                  <c:v>3059490.3998341644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86396660757389798"/>
          <c:y val="2.1568866718885239E-2"/>
          <c:w val="0.11006528401825058"/>
          <c:h val="0.30136488436328468"/>
        </c:manualLayout>
      </c:layout>
      <c:overlay val="0"/>
      <c:spPr>
        <a:solidFill>
          <a:schemeClr val="bg1"/>
        </a:solidFill>
        <a:ln w="19050">
          <a:solidFill>
            <a:schemeClr val="tx1"/>
          </a:solidFill>
        </a:ln>
      </c:spPr>
    </c:legend>
    <c:plotVisOnly val="1"/>
    <c:dispBlanksAs val="zero"/>
    <c:showDLblsOverMax val="0"/>
  </c:chart>
  <c:txPr>
    <a:bodyPr/>
    <a:lstStyle/>
    <a:p>
      <a:pPr>
        <a:defRPr sz="1400" b="1"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31031071654221"/>
          <c:y val="4.7549820670321957E-2"/>
          <c:w val="0.8491101160794986"/>
          <c:h val="0.878830523147957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'Свод по цехам_Инвестиции'!$A$2</c:f>
              <c:strCache>
                <c:ptCount val="1"/>
                <c:pt idx="0">
                  <c:v>Цех 1</c:v>
                </c:pt>
              </c:strCache>
            </c:strRef>
          </c:tx>
          <c:invertIfNegative val="0"/>
          <c:cat>
            <c:numRef>
              <c:f>'Свод по цехам_Инвестиции'!$B$1:$L$1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'Свод по цехам_Инвестиции'!$B$2:$L$2</c:f>
              <c:numCache>
                <c:formatCode>#,##0.000</c:formatCode>
                <c:ptCount val="11"/>
                <c:pt idx="0">
                  <c:v>17383.20534</c:v>
                </c:pt>
                <c:pt idx="1">
                  <c:v>13459.513695445681</c:v>
                </c:pt>
                <c:pt idx="2">
                  <c:v>155360.01239022438</c:v>
                </c:pt>
                <c:pt idx="3">
                  <c:v>242957.13194838638</c:v>
                </c:pt>
                <c:pt idx="4">
                  <c:v>248552.63448369721</c:v>
                </c:pt>
                <c:pt idx="5">
                  <c:v>548740.75028482103</c:v>
                </c:pt>
                <c:pt idx="6">
                  <c:v>724876.51057551149</c:v>
                </c:pt>
                <c:pt idx="7">
                  <c:v>58644.150931794647</c:v>
                </c:pt>
                <c:pt idx="8">
                  <c:v>107505.36182523746</c:v>
                </c:pt>
                <c:pt idx="9">
                  <c:v>30501.683470495587</c:v>
                </c:pt>
                <c:pt idx="10">
                  <c:v>796047.73491050128</c:v>
                </c:pt>
              </c:numCache>
            </c:numRef>
          </c:val>
        </c:ser>
        <c:ser>
          <c:idx val="1"/>
          <c:order val="1"/>
          <c:tx>
            <c:strRef>
              <c:f>'Свод по цехам_Инвестиции'!$A$3</c:f>
              <c:strCache>
                <c:ptCount val="1"/>
                <c:pt idx="0">
                  <c:v>Цех 2</c:v>
                </c:pt>
              </c:strCache>
            </c:strRef>
          </c:tx>
          <c:invertIfNegative val="0"/>
          <c:cat>
            <c:numRef>
              <c:f>'Свод по цехам_Инвестиции'!$B$1:$L$1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'Свод по цехам_Инвестиции'!$B$3:$L$3</c:f>
              <c:numCache>
                <c:formatCode>#,##0.000</c:formatCode>
                <c:ptCount val="11"/>
                <c:pt idx="0">
                  <c:v>3292.8011999999999</c:v>
                </c:pt>
                <c:pt idx="1">
                  <c:v>220824.87652898498</c:v>
                </c:pt>
                <c:pt idx="2">
                  <c:v>20891.180448699597</c:v>
                </c:pt>
                <c:pt idx="3">
                  <c:v>952095.2792965871</c:v>
                </c:pt>
                <c:pt idx="4">
                  <c:v>901009.70070561126</c:v>
                </c:pt>
                <c:pt idx="5">
                  <c:v>2258305.7553179325</c:v>
                </c:pt>
                <c:pt idx="6">
                  <c:v>509299.57139468042</c:v>
                </c:pt>
                <c:pt idx="7">
                  <c:v>519657.69865803636</c:v>
                </c:pt>
                <c:pt idx="8">
                  <c:v>0</c:v>
                </c:pt>
                <c:pt idx="9">
                  <c:v>811.2558618888803</c:v>
                </c:pt>
                <c:pt idx="10">
                  <c:v>27227.369236714603</c:v>
                </c:pt>
              </c:numCache>
            </c:numRef>
          </c:val>
        </c:ser>
        <c:ser>
          <c:idx val="2"/>
          <c:order val="2"/>
          <c:tx>
            <c:strRef>
              <c:f>'Свод по цехам_Инвестиции'!$A$4</c:f>
              <c:strCache>
                <c:ptCount val="1"/>
                <c:pt idx="0">
                  <c:v>Цех 3</c:v>
                </c:pt>
              </c:strCache>
            </c:strRef>
          </c:tx>
          <c:invertIfNegative val="0"/>
          <c:cat>
            <c:numRef>
              <c:f>'Свод по цехам_Инвестиции'!$B$1:$L$1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'Свод по цехам_Инвестиции'!$B$4:$L$4</c:f>
              <c:numCache>
                <c:formatCode>#,##0.000</c:formatCode>
                <c:ptCount val="11"/>
                <c:pt idx="0">
                  <c:v>4552.4537459999992</c:v>
                </c:pt>
                <c:pt idx="1">
                  <c:v>80442.616434110998</c:v>
                </c:pt>
                <c:pt idx="2">
                  <c:v>118505.29523573705</c:v>
                </c:pt>
                <c:pt idx="3">
                  <c:v>201699.51466343467</c:v>
                </c:pt>
                <c:pt idx="4">
                  <c:v>690782.99087490025</c:v>
                </c:pt>
                <c:pt idx="5">
                  <c:v>1131825.8302267448</c:v>
                </c:pt>
                <c:pt idx="6">
                  <c:v>1555449.5839191179</c:v>
                </c:pt>
                <c:pt idx="7">
                  <c:v>493121.6558072553</c:v>
                </c:pt>
                <c:pt idx="8">
                  <c:v>57774.148558989065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3"/>
          <c:order val="3"/>
          <c:tx>
            <c:strRef>
              <c:f>'Свод по цехам_Инвестиции'!$A$5</c:f>
              <c:strCache>
                <c:ptCount val="1"/>
                <c:pt idx="0">
                  <c:v>Цех 4</c:v>
                </c:pt>
              </c:strCache>
            </c:strRef>
          </c:tx>
          <c:invertIfNegative val="0"/>
          <c:cat>
            <c:numRef>
              <c:f>'Свод по цехам_Инвестиции'!$B$1:$L$1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'Свод по цехам_Инвестиции'!$B$5:$L$5</c:f>
              <c:numCache>
                <c:formatCode>#,##0.000</c:formatCode>
                <c:ptCount val="11"/>
                <c:pt idx="0">
                  <c:v>522.90318000000002</c:v>
                </c:pt>
                <c:pt idx="1">
                  <c:v>1148.21851302</c:v>
                </c:pt>
                <c:pt idx="2">
                  <c:v>322.47915719999997</c:v>
                </c:pt>
                <c:pt idx="3">
                  <c:v>26917.184745546634</c:v>
                </c:pt>
                <c:pt idx="4">
                  <c:v>250477.12447507918</c:v>
                </c:pt>
                <c:pt idx="5">
                  <c:v>362741.92051272362</c:v>
                </c:pt>
                <c:pt idx="6">
                  <c:v>283675.10618803976</c:v>
                </c:pt>
                <c:pt idx="7">
                  <c:v>19514.95212031544</c:v>
                </c:pt>
                <c:pt idx="8">
                  <c:v>56086.415864111528</c:v>
                </c:pt>
                <c:pt idx="9">
                  <c:v>116.47571274059727</c:v>
                </c:pt>
                <c:pt idx="10">
                  <c:v>3909.1578709999253</c:v>
                </c:pt>
              </c:numCache>
            </c:numRef>
          </c:val>
        </c:ser>
        <c:ser>
          <c:idx val="4"/>
          <c:order val="4"/>
          <c:tx>
            <c:strRef>
              <c:f>'Свод по цехам_Инвестиции'!$A$6</c:f>
              <c:strCache>
                <c:ptCount val="1"/>
                <c:pt idx="0">
                  <c:v>Цех 5</c:v>
                </c:pt>
              </c:strCache>
            </c:strRef>
          </c:tx>
          <c:invertIfNegative val="0"/>
          <c:cat>
            <c:numRef>
              <c:f>'Свод по цехам_Инвестиции'!$B$1:$L$1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'Свод по цехам_Инвестиции'!$B$6:$L$6</c:f>
              <c:numCache>
                <c:formatCode>#,##0.000</c:formatCode>
                <c:ptCount val="11"/>
                <c:pt idx="0">
                  <c:v>1201.4470200000001</c:v>
                </c:pt>
                <c:pt idx="1">
                  <c:v>0</c:v>
                </c:pt>
                <c:pt idx="2">
                  <c:v>3070.4911692804003</c:v>
                </c:pt>
                <c:pt idx="3">
                  <c:v>129716.49054920314</c:v>
                </c:pt>
                <c:pt idx="4">
                  <c:v>146621.02477000601</c:v>
                </c:pt>
                <c:pt idx="5">
                  <c:v>327472.99018144415</c:v>
                </c:pt>
                <c:pt idx="6">
                  <c:v>124353.66890701964</c:v>
                </c:pt>
                <c:pt idx="7">
                  <c:v>303543.03417131567</c:v>
                </c:pt>
                <c:pt idx="8">
                  <c:v>153478.14712544685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5"/>
          <c:order val="5"/>
          <c:tx>
            <c:strRef>
              <c:f>'Свод по цехам_Инвестиции'!$A$7</c:f>
              <c:strCache>
                <c:ptCount val="1"/>
                <c:pt idx="0">
                  <c:v>Цех 6</c:v>
                </c:pt>
              </c:strCache>
            </c:strRef>
          </c:tx>
          <c:invertIfNegative val="0"/>
          <c:cat>
            <c:numRef>
              <c:f>'Свод по цехам_Инвестиции'!$B$1:$L$1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'Свод по цехам_Инвестиции'!$B$7:$L$7</c:f>
              <c:numCache>
                <c:formatCode>#,##0.000</c:formatCode>
                <c:ptCount val="11"/>
                <c:pt idx="0">
                  <c:v>0</c:v>
                </c:pt>
                <c:pt idx="1">
                  <c:v>72.946601400000006</c:v>
                </c:pt>
                <c:pt idx="2">
                  <c:v>4111.6386127172</c:v>
                </c:pt>
                <c:pt idx="3">
                  <c:v>66308.174761131479</c:v>
                </c:pt>
                <c:pt idx="4">
                  <c:v>35081.128016564478</c:v>
                </c:pt>
                <c:pt idx="5">
                  <c:v>1152493.7364105382</c:v>
                </c:pt>
                <c:pt idx="6">
                  <c:v>114084.47254727461</c:v>
                </c:pt>
                <c:pt idx="7">
                  <c:v>0</c:v>
                </c:pt>
                <c:pt idx="8">
                  <c:v>25427.193866078742</c:v>
                </c:pt>
                <c:pt idx="9">
                  <c:v>48084.923008461883</c:v>
                </c:pt>
                <c:pt idx="10">
                  <c:v>1613826.186009998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0722304"/>
        <c:axId val="160724096"/>
      </c:barChart>
      <c:catAx>
        <c:axId val="16072230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60724096"/>
        <c:crosses val="autoZero"/>
        <c:auto val="1"/>
        <c:lblAlgn val="ctr"/>
        <c:lblOffset val="100"/>
        <c:noMultiLvlLbl val="0"/>
      </c:catAx>
      <c:valAx>
        <c:axId val="1607240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out"/>
        <c:tickLblPos val="nextTo"/>
        <c:crossAx val="1607223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6692790820483533"/>
          <c:y val="6.3453683472812009E-2"/>
          <c:w val="7.8630205419252586E-2"/>
          <c:h val="0.2699512717978359"/>
        </c:manualLayout>
      </c:layout>
      <c:overlay val="0"/>
      <c:spPr>
        <a:solidFill>
          <a:schemeClr val="bg1"/>
        </a:solidFill>
        <a:ln w="19050">
          <a:solidFill>
            <a:schemeClr val="tx1"/>
          </a:solidFill>
        </a:ln>
      </c:spPr>
    </c:legend>
    <c:plotVisOnly val="1"/>
    <c:dispBlanksAs val="gap"/>
    <c:showDLblsOverMax val="0"/>
  </c:chart>
  <c:txPr>
    <a:bodyPr/>
    <a:lstStyle/>
    <a:p>
      <a:pPr>
        <a:defRPr sz="1400" b="1"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31031071654221"/>
          <c:y val="4.7549820670321957E-2"/>
          <c:w val="0.8491101160794986"/>
          <c:h val="0.878830523147957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'Свод по цехам_Инвестиции'!$A$2</c:f>
              <c:strCache>
                <c:ptCount val="1"/>
                <c:pt idx="0">
                  <c:v>Цех 1</c:v>
                </c:pt>
              </c:strCache>
            </c:strRef>
          </c:tx>
          <c:invertIfNegative val="0"/>
          <c:cat>
            <c:numRef>
              <c:f>'Свод по цехам_Инвестиции'!$B$1:$L$1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'Свод по цехам_Инвестиции'!$B$2:$L$2</c:f>
              <c:numCache>
                <c:formatCode>#,##0.000</c:formatCode>
                <c:ptCount val="11"/>
                <c:pt idx="0">
                  <c:v>17383.20534</c:v>
                </c:pt>
                <c:pt idx="1">
                  <c:v>13459.513695445681</c:v>
                </c:pt>
                <c:pt idx="2">
                  <c:v>155360.01239022438</c:v>
                </c:pt>
                <c:pt idx="3">
                  <c:v>242957.13194838638</c:v>
                </c:pt>
                <c:pt idx="4">
                  <c:v>248552.63448369721</c:v>
                </c:pt>
                <c:pt idx="5">
                  <c:v>548740.75028482103</c:v>
                </c:pt>
                <c:pt idx="6">
                  <c:v>724876.51057551149</c:v>
                </c:pt>
                <c:pt idx="7">
                  <c:v>58644.150931794647</c:v>
                </c:pt>
                <c:pt idx="8">
                  <c:v>107505.36182523746</c:v>
                </c:pt>
                <c:pt idx="9">
                  <c:v>30501.683470495587</c:v>
                </c:pt>
                <c:pt idx="10">
                  <c:v>796047.73491050128</c:v>
                </c:pt>
              </c:numCache>
            </c:numRef>
          </c:val>
        </c:ser>
        <c:ser>
          <c:idx val="1"/>
          <c:order val="1"/>
          <c:tx>
            <c:strRef>
              <c:f>'Свод по цехам_Инвестиции'!$A$3</c:f>
              <c:strCache>
                <c:ptCount val="1"/>
                <c:pt idx="0">
                  <c:v>Цех 2</c:v>
                </c:pt>
              </c:strCache>
            </c:strRef>
          </c:tx>
          <c:invertIfNegative val="0"/>
          <c:cat>
            <c:numRef>
              <c:f>'Свод по цехам_Инвестиции'!$B$1:$L$1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'Свод по цехам_Инвестиции'!$B$3:$L$3</c:f>
              <c:numCache>
                <c:formatCode>#,##0.000</c:formatCode>
                <c:ptCount val="11"/>
                <c:pt idx="0">
                  <c:v>3292.8011999999999</c:v>
                </c:pt>
                <c:pt idx="1">
                  <c:v>220824.87652898498</c:v>
                </c:pt>
                <c:pt idx="2">
                  <c:v>20891.180448699597</c:v>
                </c:pt>
                <c:pt idx="3">
                  <c:v>952095.2792965871</c:v>
                </c:pt>
                <c:pt idx="4">
                  <c:v>901009.70070561126</c:v>
                </c:pt>
                <c:pt idx="5">
                  <c:v>2258305.7553179325</c:v>
                </c:pt>
                <c:pt idx="6">
                  <c:v>509299.57139468042</c:v>
                </c:pt>
                <c:pt idx="7">
                  <c:v>519657.69865803636</c:v>
                </c:pt>
                <c:pt idx="8">
                  <c:v>0</c:v>
                </c:pt>
                <c:pt idx="9">
                  <c:v>811.2558618888803</c:v>
                </c:pt>
                <c:pt idx="10">
                  <c:v>27227.369236714603</c:v>
                </c:pt>
              </c:numCache>
            </c:numRef>
          </c:val>
        </c:ser>
        <c:ser>
          <c:idx val="2"/>
          <c:order val="2"/>
          <c:tx>
            <c:strRef>
              <c:f>'Свод по цехам_Инвестиции'!$A$4</c:f>
              <c:strCache>
                <c:ptCount val="1"/>
                <c:pt idx="0">
                  <c:v>Цех 3</c:v>
                </c:pt>
              </c:strCache>
            </c:strRef>
          </c:tx>
          <c:invertIfNegative val="0"/>
          <c:cat>
            <c:numRef>
              <c:f>'Свод по цехам_Инвестиции'!$B$1:$L$1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'Свод по цехам_Инвестиции'!$B$4:$L$4</c:f>
              <c:numCache>
                <c:formatCode>#,##0.000</c:formatCode>
                <c:ptCount val="11"/>
                <c:pt idx="0">
                  <c:v>4552.4537459999992</c:v>
                </c:pt>
                <c:pt idx="1">
                  <c:v>80442.616434110998</c:v>
                </c:pt>
                <c:pt idx="2">
                  <c:v>118505.29523573705</c:v>
                </c:pt>
                <c:pt idx="3">
                  <c:v>201699.51466343467</c:v>
                </c:pt>
                <c:pt idx="4">
                  <c:v>690782.99087490025</c:v>
                </c:pt>
                <c:pt idx="5">
                  <c:v>1131825.8302267448</c:v>
                </c:pt>
                <c:pt idx="6">
                  <c:v>1555449.5839191179</c:v>
                </c:pt>
                <c:pt idx="7">
                  <c:v>493121.6558072553</c:v>
                </c:pt>
                <c:pt idx="8">
                  <c:v>57774.148558989065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3"/>
          <c:order val="3"/>
          <c:tx>
            <c:strRef>
              <c:f>'Свод по цехам_Инвестиции'!$A$5</c:f>
              <c:strCache>
                <c:ptCount val="1"/>
                <c:pt idx="0">
                  <c:v>Цех 4</c:v>
                </c:pt>
              </c:strCache>
            </c:strRef>
          </c:tx>
          <c:invertIfNegative val="0"/>
          <c:cat>
            <c:numRef>
              <c:f>'Свод по цехам_Инвестиции'!$B$1:$L$1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'Свод по цехам_Инвестиции'!$B$5:$L$5</c:f>
              <c:numCache>
                <c:formatCode>#,##0.000</c:formatCode>
                <c:ptCount val="11"/>
                <c:pt idx="0">
                  <c:v>522.90318000000002</c:v>
                </c:pt>
                <c:pt idx="1">
                  <c:v>1148.21851302</c:v>
                </c:pt>
                <c:pt idx="2">
                  <c:v>322.47915719999997</c:v>
                </c:pt>
                <c:pt idx="3">
                  <c:v>26917.184745546634</c:v>
                </c:pt>
                <c:pt idx="4">
                  <c:v>250477.12447507918</c:v>
                </c:pt>
                <c:pt idx="5">
                  <c:v>362741.92051272362</c:v>
                </c:pt>
                <c:pt idx="6">
                  <c:v>283675.10618803976</c:v>
                </c:pt>
                <c:pt idx="7">
                  <c:v>19514.95212031544</c:v>
                </c:pt>
                <c:pt idx="8">
                  <c:v>56086.415864111528</c:v>
                </c:pt>
                <c:pt idx="9">
                  <c:v>116.47571274059727</c:v>
                </c:pt>
                <c:pt idx="10">
                  <c:v>3909.1578709999253</c:v>
                </c:pt>
              </c:numCache>
            </c:numRef>
          </c:val>
        </c:ser>
        <c:ser>
          <c:idx val="4"/>
          <c:order val="4"/>
          <c:tx>
            <c:strRef>
              <c:f>'Свод по цехам_Инвестиции'!$A$6</c:f>
              <c:strCache>
                <c:ptCount val="1"/>
                <c:pt idx="0">
                  <c:v>Цех 5</c:v>
                </c:pt>
              </c:strCache>
            </c:strRef>
          </c:tx>
          <c:invertIfNegative val="0"/>
          <c:cat>
            <c:numRef>
              <c:f>'Свод по цехам_Инвестиции'!$B$1:$L$1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'Свод по цехам_Инвестиции'!$B$6:$L$6</c:f>
              <c:numCache>
                <c:formatCode>#,##0.000</c:formatCode>
                <c:ptCount val="11"/>
                <c:pt idx="0">
                  <c:v>1201.4470200000001</c:v>
                </c:pt>
                <c:pt idx="1">
                  <c:v>0</c:v>
                </c:pt>
                <c:pt idx="2">
                  <c:v>3070.4911692804003</c:v>
                </c:pt>
                <c:pt idx="3">
                  <c:v>129716.49054920314</c:v>
                </c:pt>
                <c:pt idx="4">
                  <c:v>146621.02477000601</c:v>
                </c:pt>
                <c:pt idx="5">
                  <c:v>327472.99018144415</c:v>
                </c:pt>
                <c:pt idx="6">
                  <c:v>124353.66890701964</c:v>
                </c:pt>
                <c:pt idx="7">
                  <c:v>303543.03417131567</c:v>
                </c:pt>
                <c:pt idx="8">
                  <c:v>153478.14712544685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5"/>
          <c:order val="5"/>
          <c:tx>
            <c:strRef>
              <c:f>'Свод по цехам_Инвестиции'!$A$7</c:f>
              <c:strCache>
                <c:ptCount val="1"/>
                <c:pt idx="0">
                  <c:v>Цех 6</c:v>
                </c:pt>
              </c:strCache>
            </c:strRef>
          </c:tx>
          <c:invertIfNegative val="0"/>
          <c:cat>
            <c:numRef>
              <c:f>'Свод по цехам_Инвестиции'!$B$1:$L$1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'Свод по цехам_Инвестиции'!$B$7:$L$7</c:f>
              <c:numCache>
                <c:formatCode>#,##0.000</c:formatCode>
                <c:ptCount val="11"/>
                <c:pt idx="0">
                  <c:v>0</c:v>
                </c:pt>
                <c:pt idx="1">
                  <c:v>72.946601400000006</c:v>
                </c:pt>
                <c:pt idx="2">
                  <c:v>4111.6386127172</c:v>
                </c:pt>
                <c:pt idx="3">
                  <c:v>66308.174761131479</c:v>
                </c:pt>
                <c:pt idx="4">
                  <c:v>35081.128016564478</c:v>
                </c:pt>
                <c:pt idx="5">
                  <c:v>1152493.7364105382</c:v>
                </c:pt>
                <c:pt idx="6">
                  <c:v>114084.47254727461</c:v>
                </c:pt>
                <c:pt idx="7">
                  <c:v>0</c:v>
                </c:pt>
                <c:pt idx="8">
                  <c:v>25427.193866078742</c:v>
                </c:pt>
                <c:pt idx="9">
                  <c:v>48084.923008461883</c:v>
                </c:pt>
                <c:pt idx="10">
                  <c:v>1613826.186009998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757248"/>
        <c:axId val="160758784"/>
      </c:barChart>
      <c:catAx>
        <c:axId val="16075724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60758784"/>
        <c:crosses val="autoZero"/>
        <c:auto val="1"/>
        <c:lblAlgn val="ctr"/>
        <c:lblOffset val="100"/>
        <c:noMultiLvlLbl val="0"/>
      </c:catAx>
      <c:valAx>
        <c:axId val="1607587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out"/>
        <c:tickLblPos val="nextTo"/>
        <c:crossAx val="1607572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5189374017923132"/>
          <c:y val="7.1830646823597424E-2"/>
          <c:w val="9.0930888349295746E-2"/>
          <c:h val="0.29298792101249777"/>
        </c:manualLayout>
      </c:layout>
      <c:overlay val="0"/>
      <c:spPr>
        <a:solidFill>
          <a:schemeClr val="bg1"/>
        </a:solidFill>
        <a:ln w="19050">
          <a:solidFill>
            <a:schemeClr val="tx1"/>
          </a:solidFill>
        </a:ln>
      </c:spPr>
    </c:legend>
    <c:plotVisOnly val="1"/>
    <c:dispBlanksAs val="gap"/>
    <c:showDLblsOverMax val="0"/>
  </c:chart>
  <c:txPr>
    <a:bodyPr/>
    <a:lstStyle/>
    <a:p>
      <a:pPr>
        <a:defRPr sz="1400" b="1"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31031071654221"/>
          <c:y val="4.7549820670321957E-2"/>
          <c:w val="0.8491101160794986"/>
          <c:h val="0.87883052314795729"/>
        </c:manualLayout>
      </c:layout>
      <c:areaChart>
        <c:grouping val="stacked"/>
        <c:varyColors val="0"/>
        <c:ser>
          <c:idx val="0"/>
          <c:order val="0"/>
          <c:tx>
            <c:strRef>
              <c:f>'Свод по цехам_Инвестиции'!$A$10</c:f>
              <c:strCache>
                <c:ptCount val="1"/>
                <c:pt idx="0">
                  <c:v>Цех 1</c:v>
                </c:pt>
              </c:strCache>
            </c:strRef>
          </c:tx>
          <c:cat>
            <c:numRef>
              <c:f>'Свод по цехам_Инвестиции'!$B$1:$L$1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'Свод по цехам_Инвестиции'!$B$10:$L$10</c:f>
              <c:numCache>
                <c:formatCode>#,##0.000</c:formatCode>
                <c:ptCount val="11"/>
                <c:pt idx="0">
                  <c:v>17383.20534</c:v>
                </c:pt>
                <c:pt idx="1">
                  <c:v>30842.719035445683</c:v>
                </c:pt>
                <c:pt idx="2">
                  <c:v>186202.73142567006</c:v>
                </c:pt>
                <c:pt idx="3">
                  <c:v>429159.86337405641</c:v>
                </c:pt>
                <c:pt idx="4">
                  <c:v>677712.49785775365</c:v>
                </c:pt>
                <c:pt idx="5">
                  <c:v>1226453.2481425747</c:v>
                </c:pt>
                <c:pt idx="6">
                  <c:v>1951329.7587180862</c:v>
                </c:pt>
                <c:pt idx="7">
                  <c:v>2009973.9096498808</c:v>
                </c:pt>
                <c:pt idx="8">
                  <c:v>2117479.2714751181</c:v>
                </c:pt>
                <c:pt idx="9">
                  <c:v>2147980.9549456136</c:v>
                </c:pt>
                <c:pt idx="10">
                  <c:v>2944028.6898561148</c:v>
                </c:pt>
              </c:numCache>
            </c:numRef>
          </c:val>
        </c:ser>
        <c:ser>
          <c:idx val="1"/>
          <c:order val="1"/>
          <c:tx>
            <c:strRef>
              <c:f>'Свод по цехам_Инвестиции'!$A$11</c:f>
              <c:strCache>
                <c:ptCount val="1"/>
                <c:pt idx="0">
                  <c:v>Цех 2</c:v>
                </c:pt>
              </c:strCache>
            </c:strRef>
          </c:tx>
          <c:cat>
            <c:numRef>
              <c:f>'Свод по цехам_Инвестиции'!$B$1:$L$1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'Свод по цехам_Инвестиции'!$B$11:$L$11</c:f>
              <c:numCache>
                <c:formatCode>#,##0.000</c:formatCode>
                <c:ptCount val="11"/>
                <c:pt idx="0">
                  <c:v>3292.8011999999999</c:v>
                </c:pt>
                <c:pt idx="1">
                  <c:v>224117.67772898497</c:v>
                </c:pt>
                <c:pt idx="2">
                  <c:v>245008.85817768457</c:v>
                </c:pt>
                <c:pt idx="3">
                  <c:v>1197104.1374742717</c:v>
                </c:pt>
                <c:pt idx="4">
                  <c:v>2098113.8381798831</c:v>
                </c:pt>
                <c:pt idx="5">
                  <c:v>4356419.5934978155</c:v>
                </c:pt>
                <c:pt idx="6">
                  <c:v>4865719.1648924956</c:v>
                </c:pt>
                <c:pt idx="7">
                  <c:v>5385376.8635505317</c:v>
                </c:pt>
                <c:pt idx="8">
                  <c:v>5385376.8635505317</c:v>
                </c:pt>
                <c:pt idx="9">
                  <c:v>5386188.1194124203</c:v>
                </c:pt>
                <c:pt idx="10">
                  <c:v>5413415.4886491345</c:v>
                </c:pt>
              </c:numCache>
            </c:numRef>
          </c:val>
        </c:ser>
        <c:ser>
          <c:idx val="2"/>
          <c:order val="2"/>
          <c:tx>
            <c:strRef>
              <c:f>'Свод по цехам_Инвестиции'!$A$12</c:f>
              <c:strCache>
                <c:ptCount val="1"/>
                <c:pt idx="0">
                  <c:v>Цех 3</c:v>
                </c:pt>
              </c:strCache>
            </c:strRef>
          </c:tx>
          <c:cat>
            <c:numRef>
              <c:f>'Свод по цехам_Инвестиции'!$B$1:$L$1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'Свод по цехам_Инвестиции'!$B$12:$L$12</c:f>
              <c:numCache>
                <c:formatCode>#,##0.000</c:formatCode>
                <c:ptCount val="11"/>
                <c:pt idx="0">
                  <c:v>4552.4537459999992</c:v>
                </c:pt>
                <c:pt idx="1">
                  <c:v>84995.070180110997</c:v>
                </c:pt>
                <c:pt idx="2">
                  <c:v>203500.36541584803</c:v>
                </c:pt>
                <c:pt idx="3">
                  <c:v>405199.88007928268</c:v>
                </c:pt>
                <c:pt idx="4">
                  <c:v>1095982.8709541829</c:v>
                </c:pt>
                <c:pt idx="5">
                  <c:v>2227808.7011809275</c:v>
                </c:pt>
                <c:pt idx="6">
                  <c:v>3783258.2851000456</c:v>
                </c:pt>
                <c:pt idx="7">
                  <c:v>4276379.9409073014</c:v>
                </c:pt>
                <c:pt idx="8">
                  <c:v>4334154.0894662905</c:v>
                </c:pt>
                <c:pt idx="9">
                  <c:v>4334154.0894662905</c:v>
                </c:pt>
                <c:pt idx="10">
                  <c:v>4334154.0894662905</c:v>
                </c:pt>
              </c:numCache>
            </c:numRef>
          </c:val>
        </c:ser>
        <c:ser>
          <c:idx val="3"/>
          <c:order val="3"/>
          <c:tx>
            <c:strRef>
              <c:f>'Свод по цехам_Инвестиции'!$A$13</c:f>
              <c:strCache>
                <c:ptCount val="1"/>
                <c:pt idx="0">
                  <c:v>Цех 4</c:v>
                </c:pt>
              </c:strCache>
            </c:strRef>
          </c:tx>
          <c:cat>
            <c:numRef>
              <c:f>'Свод по цехам_Инвестиции'!$B$1:$L$1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'Свод по цехам_Инвестиции'!$B$13:$L$13</c:f>
              <c:numCache>
                <c:formatCode>#,##0.000</c:formatCode>
                <c:ptCount val="11"/>
                <c:pt idx="0">
                  <c:v>522.90318000000002</c:v>
                </c:pt>
                <c:pt idx="1">
                  <c:v>1671.1216930200001</c:v>
                </c:pt>
                <c:pt idx="2">
                  <c:v>1993.60085022</c:v>
                </c:pt>
                <c:pt idx="3">
                  <c:v>28910.785595766632</c:v>
                </c:pt>
                <c:pt idx="4">
                  <c:v>279387.9100708458</c:v>
                </c:pt>
                <c:pt idx="5">
                  <c:v>642129.83058356936</c:v>
                </c:pt>
                <c:pt idx="6">
                  <c:v>925804.93677160912</c:v>
                </c:pt>
                <c:pt idx="7">
                  <c:v>945319.88889192452</c:v>
                </c:pt>
                <c:pt idx="8">
                  <c:v>1001406.304756036</c:v>
                </c:pt>
                <c:pt idx="9">
                  <c:v>1001522.7804687766</c:v>
                </c:pt>
                <c:pt idx="10">
                  <c:v>1005431.9383397765</c:v>
                </c:pt>
              </c:numCache>
            </c:numRef>
          </c:val>
        </c:ser>
        <c:ser>
          <c:idx val="4"/>
          <c:order val="4"/>
          <c:tx>
            <c:strRef>
              <c:f>'Свод по цехам_Инвестиции'!$A$14</c:f>
              <c:strCache>
                <c:ptCount val="1"/>
                <c:pt idx="0">
                  <c:v>Цех 5</c:v>
                </c:pt>
              </c:strCache>
            </c:strRef>
          </c:tx>
          <c:cat>
            <c:numRef>
              <c:f>'Свод по цехам_Инвестиции'!$B$1:$L$1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'Свод по цехам_Инвестиции'!$B$14:$L$14</c:f>
              <c:numCache>
                <c:formatCode>#,##0.000</c:formatCode>
                <c:ptCount val="11"/>
                <c:pt idx="0">
                  <c:v>1201.4470200000001</c:v>
                </c:pt>
                <c:pt idx="1">
                  <c:v>1201.4470200000001</c:v>
                </c:pt>
                <c:pt idx="2">
                  <c:v>4271.9381892804004</c:v>
                </c:pt>
                <c:pt idx="3">
                  <c:v>133988.42873848355</c:v>
                </c:pt>
                <c:pt idx="4">
                  <c:v>280609.45350848953</c:v>
                </c:pt>
                <c:pt idx="5">
                  <c:v>608082.44368993375</c:v>
                </c:pt>
                <c:pt idx="6">
                  <c:v>732436.1125969534</c:v>
                </c:pt>
                <c:pt idx="7">
                  <c:v>1035979.1467682691</c:v>
                </c:pt>
                <c:pt idx="8">
                  <c:v>1189457.2938937161</c:v>
                </c:pt>
                <c:pt idx="9">
                  <c:v>1189457.2938937161</c:v>
                </c:pt>
                <c:pt idx="10">
                  <c:v>1189457.2938937161</c:v>
                </c:pt>
              </c:numCache>
            </c:numRef>
          </c:val>
        </c:ser>
        <c:ser>
          <c:idx val="5"/>
          <c:order val="5"/>
          <c:tx>
            <c:strRef>
              <c:f>'Свод по цехам_Инвестиции'!$A$15</c:f>
              <c:strCache>
                <c:ptCount val="1"/>
                <c:pt idx="0">
                  <c:v>Цех 6</c:v>
                </c:pt>
              </c:strCache>
            </c:strRef>
          </c:tx>
          <c:cat>
            <c:numRef>
              <c:f>'Свод по цехам_Инвестиции'!$B$1:$L$1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'Свод по цехам_Инвестиции'!$B$15:$L$15</c:f>
              <c:numCache>
                <c:formatCode>#,##0.000</c:formatCode>
                <c:ptCount val="11"/>
                <c:pt idx="0">
                  <c:v>0</c:v>
                </c:pt>
                <c:pt idx="1">
                  <c:v>72.946601400000006</c:v>
                </c:pt>
                <c:pt idx="2">
                  <c:v>4184.5852141171999</c:v>
                </c:pt>
                <c:pt idx="3">
                  <c:v>70492.759975248686</c:v>
                </c:pt>
                <c:pt idx="4">
                  <c:v>105573.88799181316</c:v>
                </c:pt>
                <c:pt idx="5">
                  <c:v>1258067.6244023514</c:v>
                </c:pt>
                <c:pt idx="6">
                  <c:v>1372152.096949626</c:v>
                </c:pt>
                <c:pt idx="7">
                  <c:v>1372152.096949626</c:v>
                </c:pt>
                <c:pt idx="8">
                  <c:v>1397579.2908157047</c:v>
                </c:pt>
                <c:pt idx="9">
                  <c:v>1445664.2138241667</c:v>
                </c:pt>
                <c:pt idx="10">
                  <c:v>3059490.3998341644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56768"/>
        <c:axId val="160662656"/>
      </c:areaChart>
      <c:catAx>
        <c:axId val="16065676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60662656"/>
        <c:crosses val="autoZero"/>
        <c:auto val="1"/>
        <c:lblAlgn val="ctr"/>
        <c:lblOffset val="100"/>
        <c:noMultiLvlLbl val="0"/>
      </c:catAx>
      <c:valAx>
        <c:axId val="1606626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out"/>
        <c:tickLblPos val="nextTo"/>
        <c:crossAx val="16065676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7376162094374717"/>
          <c:y val="6.5547924310508404E-2"/>
          <c:w val="7.8630205419252586E-2"/>
          <c:h val="0.2699512717978359"/>
        </c:manualLayout>
      </c:layout>
      <c:overlay val="0"/>
      <c:spPr>
        <a:solidFill>
          <a:schemeClr val="bg1"/>
        </a:solidFill>
        <a:ln w="19050">
          <a:solidFill>
            <a:schemeClr val="tx1"/>
          </a:solidFill>
        </a:ln>
      </c:spPr>
    </c:legend>
    <c:plotVisOnly val="1"/>
    <c:dispBlanksAs val="zero"/>
    <c:showDLblsOverMax val="0"/>
  </c:chart>
  <c:txPr>
    <a:bodyPr/>
    <a:lstStyle/>
    <a:p>
      <a:pPr>
        <a:defRPr sz="1400" b="1"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9764798674026"/>
          <c:y val="4.3979057591622767E-2"/>
          <c:w val="0.5979498646548308"/>
          <c:h val="0.91623036649214651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9.6599318544318025E-2"/>
                  <c:y val="0.21280339695757924"/>
                </c:manualLayout>
              </c:layout>
              <c:spPr/>
              <c:txPr>
                <a:bodyPr/>
                <a:lstStyle/>
                <a:p>
                  <a:pPr>
                    <a:defRPr sz="2000">
                      <a:solidFill>
                        <a:schemeClr val="bg1"/>
                      </a:solidFill>
                    </a:defRPr>
                  </a:pPr>
                  <a:endParaRPr lang="ru-RU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0.17720297924433404"/>
                  <c:y val="-0.13012570258114936"/>
                </c:manualLayout>
              </c:layout>
              <c:spPr/>
              <c:txPr>
                <a:bodyPr/>
                <a:lstStyle/>
                <a:p>
                  <a:pPr>
                    <a:defRPr sz="2000">
                      <a:solidFill>
                        <a:schemeClr val="bg1"/>
                      </a:solidFill>
                    </a:defRPr>
                  </a:pPr>
                  <a:endParaRPr lang="ru-RU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16553602120745109"/>
                  <c:y val="-0.1310856987385326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2.6795308229907995E-3"/>
                  <c:y val="-0.13872059621091018"/>
                </c:manualLayout>
              </c:layout>
              <c:spPr/>
              <c:txPr>
                <a:bodyPr/>
                <a:lstStyle/>
                <a:p>
                  <a:pPr>
                    <a:defRPr sz="2000">
                      <a:solidFill>
                        <a:sysClr val="windowText" lastClr="000000"/>
                      </a:solidFill>
                    </a:defRPr>
                  </a:pPr>
                  <a:endParaRPr lang="ru-RU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0.1137946917292373"/>
                  <c:y val="0.1721426420061485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4.0116195431788113E-2"/>
                  <c:y val="9.60983130814610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2000"/>
                </a:pPr>
                <a:endParaRPr lang="ru-RU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'Свод по цехам_Потери добычи'!$A$3:$A$8</c:f>
              <c:strCache>
                <c:ptCount val="6"/>
                <c:pt idx="0">
                  <c:v>Цех 1</c:v>
                </c:pt>
                <c:pt idx="1">
                  <c:v>Цех 2</c:v>
                </c:pt>
                <c:pt idx="2">
                  <c:v>Цех 3</c:v>
                </c:pt>
                <c:pt idx="3">
                  <c:v>Цех 4</c:v>
                </c:pt>
                <c:pt idx="4">
                  <c:v>Цех 5</c:v>
                </c:pt>
                <c:pt idx="5">
                  <c:v>Цех 6</c:v>
                </c:pt>
              </c:strCache>
            </c:strRef>
          </c:cat>
          <c:val>
            <c:numRef>
              <c:f>'Свод по цехам_Потери добычи'!$R$3:$R$8</c:f>
              <c:numCache>
                <c:formatCode>#,##0.000</c:formatCode>
                <c:ptCount val="6"/>
                <c:pt idx="0">
                  <c:v>8573.8032625149517</c:v>
                </c:pt>
                <c:pt idx="1">
                  <c:v>32197.856369171477</c:v>
                </c:pt>
                <c:pt idx="2">
                  <c:v>16689.147323148976</c:v>
                </c:pt>
                <c:pt idx="3">
                  <c:v>2690.621767070078</c:v>
                </c:pt>
                <c:pt idx="4">
                  <c:v>8567.8816879738679</c:v>
                </c:pt>
                <c:pt idx="5">
                  <c:v>4632.3847415440005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86396660757389798"/>
          <c:y val="2.1568866718885239E-2"/>
          <c:w val="0.11006528401825058"/>
          <c:h val="0.30136488436328468"/>
        </c:manualLayout>
      </c:layout>
      <c:overlay val="0"/>
      <c:spPr>
        <a:solidFill>
          <a:schemeClr val="bg1"/>
        </a:solidFill>
        <a:ln w="19050">
          <a:solidFill>
            <a:schemeClr val="tx1"/>
          </a:solidFill>
        </a:ln>
      </c:spPr>
    </c:legend>
    <c:plotVisOnly val="1"/>
    <c:dispBlanksAs val="zero"/>
    <c:showDLblsOverMax val="0"/>
  </c:chart>
  <c:txPr>
    <a:bodyPr/>
    <a:lstStyle/>
    <a:p>
      <a:pPr>
        <a:defRPr sz="1400" b="1"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9764798674026"/>
          <c:y val="4.3979057591622767E-2"/>
          <c:w val="0.5979498646548308"/>
          <c:h val="0.91623036649214651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9.6599318544318025E-2"/>
                  <c:y val="0.21280339695757924"/>
                </c:manualLayout>
              </c:layout>
              <c:spPr/>
              <c:txPr>
                <a:bodyPr/>
                <a:lstStyle/>
                <a:p>
                  <a:pPr>
                    <a:defRPr sz="2000">
                      <a:solidFill>
                        <a:schemeClr val="bg1"/>
                      </a:solidFill>
                    </a:defRPr>
                  </a:pPr>
                  <a:endParaRPr lang="ru-RU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0.17720297924433404"/>
                  <c:y val="-0.13012570258114936"/>
                </c:manualLayout>
              </c:layout>
              <c:spPr/>
              <c:txPr>
                <a:bodyPr/>
                <a:lstStyle/>
                <a:p>
                  <a:pPr>
                    <a:defRPr sz="2000">
                      <a:solidFill>
                        <a:schemeClr val="bg1"/>
                      </a:solidFill>
                    </a:defRPr>
                  </a:pPr>
                  <a:endParaRPr lang="ru-RU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16553602120745109"/>
                  <c:y val="-0.1310856987385326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2.6795308229907995E-3"/>
                  <c:y val="-0.13872059621091018"/>
                </c:manualLayout>
              </c:layout>
              <c:spPr/>
              <c:txPr>
                <a:bodyPr/>
                <a:lstStyle/>
                <a:p>
                  <a:pPr>
                    <a:defRPr sz="2000">
                      <a:solidFill>
                        <a:sysClr val="windowText" lastClr="000000"/>
                      </a:solidFill>
                    </a:defRPr>
                  </a:pPr>
                  <a:endParaRPr lang="ru-RU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0.1137946917292373"/>
                  <c:y val="0.1721426420061485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4.0116195431788113E-2"/>
                  <c:y val="9.60983130814610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2000"/>
                </a:pPr>
                <a:endParaRPr lang="ru-RU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'Свод по цехам_Потери добычи'!$A$11:$A$16</c:f>
              <c:strCache>
                <c:ptCount val="6"/>
                <c:pt idx="0">
                  <c:v>Цех 1</c:v>
                </c:pt>
                <c:pt idx="1">
                  <c:v>Цех 2</c:v>
                </c:pt>
                <c:pt idx="2">
                  <c:v>Цех 3</c:v>
                </c:pt>
                <c:pt idx="3">
                  <c:v>Цех 4</c:v>
                </c:pt>
                <c:pt idx="4">
                  <c:v>Цех 5</c:v>
                </c:pt>
                <c:pt idx="5">
                  <c:v>Цех 6</c:v>
                </c:pt>
              </c:strCache>
            </c:strRef>
          </c:cat>
          <c:val>
            <c:numRef>
              <c:f>'Свод по цехам_Потери добычи'!$R$11:$R$16</c:f>
              <c:numCache>
                <c:formatCode>#,##0.000</c:formatCode>
                <c:ptCount val="6"/>
                <c:pt idx="0">
                  <c:v>67163.715559155971</c:v>
                </c:pt>
                <c:pt idx="1">
                  <c:v>260156.1145755139</c:v>
                </c:pt>
                <c:pt idx="2">
                  <c:v>138272.71135700907</c:v>
                </c:pt>
                <c:pt idx="3">
                  <c:v>21399.406869026265</c:v>
                </c:pt>
                <c:pt idx="4">
                  <c:v>68895.822918220423</c:v>
                </c:pt>
                <c:pt idx="5">
                  <c:v>37226.618887861914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86396660757389798"/>
          <c:y val="2.1568866718885239E-2"/>
          <c:w val="0.11006528401825058"/>
          <c:h val="0.30136488436328468"/>
        </c:manualLayout>
      </c:layout>
      <c:overlay val="0"/>
      <c:spPr>
        <a:solidFill>
          <a:schemeClr val="bg1"/>
        </a:solidFill>
        <a:ln w="19050">
          <a:solidFill>
            <a:schemeClr val="tx1"/>
          </a:solidFill>
        </a:ln>
      </c:spPr>
    </c:legend>
    <c:plotVisOnly val="1"/>
    <c:dispBlanksAs val="zero"/>
    <c:showDLblsOverMax val="0"/>
  </c:chart>
  <c:txPr>
    <a:bodyPr/>
    <a:lstStyle/>
    <a:p>
      <a:pPr>
        <a:defRPr sz="1400" b="1"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732034230732096E-2"/>
          <c:y val="4.7549820670321957E-2"/>
          <c:w val="0.85184104045187314"/>
          <c:h val="0.87883052314795729"/>
        </c:manualLayout>
      </c:layout>
      <c:areaChart>
        <c:grouping val="stacked"/>
        <c:varyColors val="0"/>
        <c:ser>
          <c:idx val="0"/>
          <c:order val="0"/>
          <c:tx>
            <c:strRef>
              <c:f>'Свод по цехам_Потери добычи'!$A$3</c:f>
              <c:strCache>
                <c:ptCount val="1"/>
                <c:pt idx="0">
                  <c:v>Цех 1</c:v>
                </c:pt>
              </c:strCache>
            </c:strRef>
          </c:tx>
          <c:cat>
            <c:numRef>
              <c:f>'Свод по цехам_Потери добычи'!$B$1:$Q$1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'Свод по цехам_Потери добычи'!$B$3:$Q$3</c:f>
              <c:numCache>
                <c:formatCode>#,##0.000</c:formatCode>
                <c:ptCount val="16"/>
                <c:pt idx="0">
                  <c:v>3.6030058285590898</c:v>
                </c:pt>
                <c:pt idx="1">
                  <c:v>3.6030058285590898</c:v>
                </c:pt>
                <c:pt idx="2">
                  <c:v>3.6030058285590898</c:v>
                </c:pt>
                <c:pt idx="3">
                  <c:v>12.883305504422424</c:v>
                </c:pt>
                <c:pt idx="4">
                  <c:v>64.554285128492651</c:v>
                </c:pt>
                <c:pt idx="5">
                  <c:v>70.279513366894292</c:v>
                </c:pt>
                <c:pt idx="6">
                  <c:v>217.95115096468953</c:v>
                </c:pt>
                <c:pt idx="7">
                  <c:v>764.22023008972201</c:v>
                </c:pt>
                <c:pt idx="8">
                  <c:v>885.55210241903978</c:v>
                </c:pt>
                <c:pt idx="9">
                  <c:v>904.36960241903989</c:v>
                </c:pt>
                <c:pt idx="10">
                  <c:v>904.36960241903989</c:v>
                </c:pt>
                <c:pt idx="11">
                  <c:v>947.7628905435871</c:v>
                </c:pt>
                <c:pt idx="12">
                  <c:v>947.7628905435871</c:v>
                </c:pt>
                <c:pt idx="13">
                  <c:v>947.7628905435871</c:v>
                </c:pt>
                <c:pt idx="14">
                  <c:v>947.7628905435871</c:v>
                </c:pt>
                <c:pt idx="15">
                  <c:v>947.7628905435871</c:v>
                </c:pt>
              </c:numCache>
            </c:numRef>
          </c:val>
        </c:ser>
        <c:ser>
          <c:idx val="1"/>
          <c:order val="1"/>
          <c:tx>
            <c:strRef>
              <c:f>'Свод по цехам_Потери добычи'!$A$4</c:f>
              <c:strCache>
                <c:ptCount val="1"/>
                <c:pt idx="0">
                  <c:v>Цех 2</c:v>
                </c:pt>
              </c:strCache>
            </c:strRef>
          </c:tx>
          <c:cat>
            <c:numRef>
              <c:f>'Свод по цехам_Потери добычи'!$B$1:$Q$1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'Свод по цехам_Потери добычи'!$B$4:$Q$4</c:f>
              <c:numCache>
                <c:formatCode>#,##0.000</c:formatCode>
                <c:ptCount val="16"/>
                <c:pt idx="0">
                  <c:v>60.961896592711767</c:v>
                </c:pt>
                <c:pt idx="1">
                  <c:v>60.961896592711767</c:v>
                </c:pt>
                <c:pt idx="2">
                  <c:v>120.58189659271176</c:v>
                </c:pt>
                <c:pt idx="3">
                  <c:v>120.58189659271176</c:v>
                </c:pt>
                <c:pt idx="4">
                  <c:v>388.45189659271176</c:v>
                </c:pt>
                <c:pt idx="5">
                  <c:v>526.99856325937844</c:v>
                </c:pt>
                <c:pt idx="6">
                  <c:v>2887.2875272566266</c:v>
                </c:pt>
                <c:pt idx="7">
                  <c:v>2887.2875272566266</c:v>
                </c:pt>
                <c:pt idx="8">
                  <c:v>3142.4366585544103</c:v>
                </c:pt>
                <c:pt idx="9">
                  <c:v>3142.4366585544103</c:v>
                </c:pt>
                <c:pt idx="10">
                  <c:v>3142.4366585544103</c:v>
                </c:pt>
                <c:pt idx="11">
                  <c:v>3143.48665855441</c:v>
                </c:pt>
                <c:pt idx="12">
                  <c:v>3143.48665855441</c:v>
                </c:pt>
                <c:pt idx="13">
                  <c:v>3143.48665855441</c:v>
                </c:pt>
                <c:pt idx="14">
                  <c:v>3143.48665855441</c:v>
                </c:pt>
                <c:pt idx="15">
                  <c:v>3143.48665855441</c:v>
                </c:pt>
              </c:numCache>
            </c:numRef>
          </c:val>
        </c:ser>
        <c:ser>
          <c:idx val="2"/>
          <c:order val="2"/>
          <c:tx>
            <c:strRef>
              <c:f>'Свод по цехам_Потери добычи'!$A$5</c:f>
              <c:strCache>
                <c:ptCount val="1"/>
                <c:pt idx="0">
                  <c:v>Цех 3</c:v>
                </c:pt>
              </c:strCache>
            </c:strRef>
          </c:tx>
          <c:cat>
            <c:numRef>
              <c:f>'Свод по цехам_Потери добычи'!$B$1:$Q$1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'Свод по цехам_Потери добычи'!$B$5:$Q$5</c:f>
              <c:numCache>
                <c:formatCode>#,##0.000</c:formatCode>
                <c:ptCount val="16"/>
                <c:pt idx="0">
                  <c:v>528.27731464992394</c:v>
                </c:pt>
                <c:pt idx="1">
                  <c:v>528.27731464992394</c:v>
                </c:pt>
                <c:pt idx="2">
                  <c:v>528.27731464992394</c:v>
                </c:pt>
                <c:pt idx="3">
                  <c:v>558.88592421856424</c:v>
                </c:pt>
                <c:pt idx="4">
                  <c:v>564.40831015606409</c:v>
                </c:pt>
                <c:pt idx="5">
                  <c:v>606.38135048029926</c:v>
                </c:pt>
                <c:pt idx="6">
                  <c:v>738.43921494851566</c:v>
                </c:pt>
                <c:pt idx="7">
                  <c:v>1280.8029804005073</c:v>
                </c:pt>
                <c:pt idx="8">
                  <c:v>1407.8508682771844</c:v>
                </c:pt>
                <c:pt idx="9">
                  <c:v>1421.0781043882955</c:v>
                </c:pt>
                <c:pt idx="10">
                  <c:v>1421.0781043882955</c:v>
                </c:pt>
                <c:pt idx="11">
                  <c:v>1421.0781043882955</c:v>
                </c:pt>
                <c:pt idx="12">
                  <c:v>1421.0781043882955</c:v>
                </c:pt>
                <c:pt idx="13">
                  <c:v>1421.0781043882955</c:v>
                </c:pt>
                <c:pt idx="14">
                  <c:v>1421.0781043882955</c:v>
                </c:pt>
                <c:pt idx="15">
                  <c:v>1421.0781043882955</c:v>
                </c:pt>
              </c:numCache>
            </c:numRef>
          </c:val>
        </c:ser>
        <c:ser>
          <c:idx val="3"/>
          <c:order val="3"/>
          <c:tx>
            <c:strRef>
              <c:f>'Свод по цехам_Потери добычи'!$A$6</c:f>
              <c:strCache>
                <c:ptCount val="1"/>
                <c:pt idx="0">
                  <c:v>Цех 4</c:v>
                </c:pt>
              </c:strCache>
            </c:strRef>
          </c:tx>
          <c:cat>
            <c:numRef>
              <c:f>'Свод по цехам_Потери добычи'!$B$1:$Q$1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'Свод по цехам_Потери добычи'!$B$6:$Q$6</c:f>
              <c:numCache>
                <c:formatCode>#,##0.000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0.1095459800498355</c:v>
                </c:pt>
                <c:pt idx="5">
                  <c:v>0.219091960099671</c:v>
                </c:pt>
                <c:pt idx="6">
                  <c:v>187.47562549952892</c:v>
                </c:pt>
                <c:pt idx="7">
                  <c:v>266.33014533769733</c:v>
                </c:pt>
                <c:pt idx="8">
                  <c:v>279.2834015039835</c:v>
                </c:pt>
                <c:pt idx="9">
                  <c:v>279.45647358731679</c:v>
                </c:pt>
                <c:pt idx="10">
                  <c:v>279.45647358731679</c:v>
                </c:pt>
                <c:pt idx="11">
                  <c:v>279.65820192281694</c:v>
                </c:pt>
                <c:pt idx="12">
                  <c:v>279.65820192281694</c:v>
                </c:pt>
                <c:pt idx="13">
                  <c:v>279.65820192281694</c:v>
                </c:pt>
                <c:pt idx="14">
                  <c:v>279.65820192281694</c:v>
                </c:pt>
                <c:pt idx="15">
                  <c:v>279.65820192281694</c:v>
                </c:pt>
              </c:numCache>
            </c:numRef>
          </c:val>
        </c:ser>
        <c:ser>
          <c:idx val="4"/>
          <c:order val="4"/>
          <c:tx>
            <c:strRef>
              <c:f>'Свод по цехам_Потери добычи'!$A$7</c:f>
              <c:strCache>
                <c:ptCount val="1"/>
                <c:pt idx="0">
                  <c:v>Цех 5</c:v>
                </c:pt>
              </c:strCache>
            </c:strRef>
          </c:tx>
          <c:cat>
            <c:numRef>
              <c:f>'Свод по цехам_Потери добычи'!$B$1:$Q$1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'Свод по цехам_Потери добычи'!$B$7:$Q$7</c:f>
              <c:numCache>
                <c:formatCode>#,##0.000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62.804833847032</c:v>
                </c:pt>
                <c:pt idx="5">
                  <c:v>345.51628046042646</c:v>
                </c:pt>
                <c:pt idx="6">
                  <c:v>593.3345585570346</c:v>
                </c:pt>
                <c:pt idx="7">
                  <c:v>734.9101557266664</c:v>
                </c:pt>
                <c:pt idx="8">
                  <c:v>853.91448242283832</c:v>
                </c:pt>
                <c:pt idx="9">
                  <c:v>853.91448242283832</c:v>
                </c:pt>
                <c:pt idx="10">
                  <c:v>853.91448242283832</c:v>
                </c:pt>
                <c:pt idx="11">
                  <c:v>853.91448242283832</c:v>
                </c:pt>
                <c:pt idx="12">
                  <c:v>853.91448242283832</c:v>
                </c:pt>
                <c:pt idx="13">
                  <c:v>853.91448242283832</c:v>
                </c:pt>
                <c:pt idx="14">
                  <c:v>853.91448242283832</c:v>
                </c:pt>
                <c:pt idx="15">
                  <c:v>853.91448242283832</c:v>
                </c:pt>
              </c:numCache>
            </c:numRef>
          </c:val>
        </c:ser>
        <c:ser>
          <c:idx val="5"/>
          <c:order val="5"/>
          <c:tx>
            <c:strRef>
              <c:f>'Свод по цехам_Потери добычи'!$A$8</c:f>
              <c:strCache>
                <c:ptCount val="1"/>
                <c:pt idx="0">
                  <c:v>Цех 6</c:v>
                </c:pt>
              </c:strCache>
            </c:strRef>
          </c:tx>
          <c:cat>
            <c:numRef>
              <c:f>'Свод по цехам_Потери добычи'!$B$1:$Q$1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'Свод по цехам_Потери добычи'!$B$8:$Q$8</c:f>
              <c:numCache>
                <c:formatCode>#,##0.000</c:formatCode>
                <c:ptCount val="16"/>
                <c:pt idx="0">
                  <c:v>34.756566210045662</c:v>
                </c:pt>
                <c:pt idx="1">
                  <c:v>34.756566210045662</c:v>
                </c:pt>
                <c:pt idx="2">
                  <c:v>34.756566210045662</c:v>
                </c:pt>
                <c:pt idx="3">
                  <c:v>59.644236757990861</c:v>
                </c:pt>
                <c:pt idx="4">
                  <c:v>59.644236757990861</c:v>
                </c:pt>
                <c:pt idx="5">
                  <c:v>115.89551278538816</c:v>
                </c:pt>
                <c:pt idx="6">
                  <c:v>288.41773388994062</c:v>
                </c:pt>
                <c:pt idx="7">
                  <c:v>398.09921448354766</c:v>
                </c:pt>
                <c:pt idx="8">
                  <c:v>398.09921448354766</c:v>
                </c:pt>
                <c:pt idx="9">
                  <c:v>449.10065710150809</c:v>
                </c:pt>
                <c:pt idx="10">
                  <c:v>449.10065710150809</c:v>
                </c:pt>
                <c:pt idx="11">
                  <c:v>462.02271591048833</c:v>
                </c:pt>
                <c:pt idx="12">
                  <c:v>462.02271591048833</c:v>
                </c:pt>
                <c:pt idx="13">
                  <c:v>462.02271591048833</c:v>
                </c:pt>
                <c:pt idx="14">
                  <c:v>462.02271591048833</c:v>
                </c:pt>
                <c:pt idx="15">
                  <c:v>462.02271591048833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261824"/>
        <c:axId val="161157120"/>
      </c:areaChart>
      <c:catAx>
        <c:axId val="16126182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61157120"/>
        <c:crosses val="autoZero"/>
        <c:auto val="1"/>
        <c:lblAlgn val="ctr"/>
        <c:lblOffset val="100"/>
        <c:noMultiLvlLbl val="0"/>
      </c:catAx>
      <c:valAx>
        <c:axId val="1611571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out"/>
        <c:tickLblPos val="nextTo"/>
        <c:crossAx val="16126182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7376162094374717"/>
          <c:y val="6.5547924310508404E-2"/>
          <c:w val="7.8630205419252586E-2"/>
          <c:h val="0.2699512717978359"/>
        </c:manualLayout>
      </c:layout>
      <c:overlay val="0"/>
      <c:spPr>
        <a:solidFill>
          <a:schemeClr val="bg1"/>
        </a:solidFill>
        <a:ln w="19050">
          <a:solidFill>
            <a:schemeClr val="tx1"/>
          </a:solidFill>
        </a:ln>
      </c:spPr>
    </c:legend>
    <c:plotVisOnly val="1"/>
    <c:dispBlanksAs val="zero"/>
    <c:showDLblsOverMax val="0"/>
  </c:chart>
  <c:txPr>
    <a:bodyPr/>
    <a:lstStyle/>
    <a:p>
      <a:pPr>
        <a:defRPr sz="1400" b="1"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05121987355609"/>
          <c:y val="4.7549820670321957E-2"/>
          <c:w val="0.83545549766141392"/>
          <c:h val="0.87883052314795729"/>
        </c:manualLayout>
      </c:layout>
      <c:areaChart>
        <c:grouping val="stacked"/>
        <c:varyColors val="0"/>
        <c:ser>
          <c:idx val="0"/>
          <c:order val="0"/>
          <c:tx>
            <c:strRef>
              <c:f>'Свод по цехам_Потери добычи'!$A$11</c:f>
              <c:strCache>
                <c:ptCount val="1"/>
                <c:pt idx="0">
                  <c:v>Цех 1</c:v>
                </c:pt>
              </c:strCache>
            </c:strRef>
          </c:tx>
          <c:cat>
            <c:numRef>
              <c:f>'Свод по цехам_Потери добычи'!$B$1:$Q$1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'Свод по цехам_Потери добычи'!$B$11:$Q$11</c:f>
              <c:numCache>
                <c:formatCode>#,##0.000</c:formatCode>
                <c:ptCount val="16"/>
                <c:pt idx="0">
                  <c:v>32.300766142195393</c:v>
                </c:pt>
                <c:pt idx="1">
                  <c:v>34.165201096204797</c:v>
                </c:pt>
                <c:pt idx="2">
                  <c:v>36.375133429635838</c:v>
                </c:pt>
                <c:pt idx="3">
                  <c:v>130.06694383437684</c:v>
                </c:pt>
                <c:pt idx="4">
                  <c:v>651.72548886571053</c:v>
                </c:pt>
                <c:pt idx="5">
                  <c:v>709.5261006316548</c:v>
                </c:pt>
                <c:pt idx="6">
                  <c:v>2200.3856154331693</c:v>
                </c:pt>
                <c:pt idx="7">
                  <c:v>7715.3949124356068</c:v>
                </c:pt>
                <c:pt idx="8">
                  <c:v>8940.3341035585654</c:v>
                </c:pt>
                <c:pt idx="9">
                  <c:v>9130.311335315062</c:v>
                </c:pt>
                <c:pt idx="10">
                  <c:v>6023.0252931788827</c:v>
                </c:pt>
                <c:pt idx="11">
                  <c:v>6312.0209330469797</c:v>
                </c:pt>
                <c:pt idx="12">
                  <c:v>6312.0209330469797</c:v>
                </c:pt>
                <c:pt idx="13">
                  <c:v>6312.0209330469797</c:v>
                </c:pt>
                <c:pt idx="14">
                  <c:v>6312.0209330469797</c:v>
                </c:pt>
                <c:pt idx="15">
                  <c:v>6312.0209330469797</c:v>
                </c:pt>
              </c:numCache>
            </c:numRef>
          </c:val>
        </c:ser>
        <c:ser>
          <c:idx val="1"/>
          <c:order val="1"/>
          <c:tx>
            <c:strRef>
              <c:f>'Свод по цехам_Потери добычи'!$A$12</c:f>
              <c:strCache>
                <c:ptCount val="1"/>
                <c:pt idx="0">
                  <c:v>Цех 2</c:v>
                </c:pt>
              </c:strCache>
            </c:strRef>
          </c:tx>
          <c:cat>
            <c:numRef>
              <c:f>'Свод по цехам_Потери добычи'!$B$1:$Q$1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'Свод по цехам_Потери добычи'!$B$12:$Q$12</c:f>
              <c:numCache>
                <c:formatCode>#,##0.000</c:formatCode>
                <c:ptCount val="16"/>
                <c:pt idx="0">
                  <c:v>546.52033860665938</c:v>
                </c:pt>
                <c:pt idx="1">
                  <c:v>578.06608021197144</c:v>
                </c:pt>
                <c:pt idx="2">
                  <c:v>1217.3676054008938</c:v>
                </c:pt>
                <c:pt idx="3">
                  <c:v>1217.3676054008938</c:v>
                </c:pt>
                <c:pt idx="4">
                  <c:v>3921.7226510027176</c:v>
                </c:pt>
                <c:pt idx="5">
                  <c:v>5320.4585193392759</c:v>
                </c:pt>
                <c:pt idx="6">
                  <c:v>29149.403040428824</c:v>
                </c:pt>
                <c:pt idx="7">
                  <c:v>29149.403040428824</c:v>
                </c:pt>
                <c:pt idx="8">
                  <c:v>31725.331067479572</c:v>
                </c:pt>
                <c:pt idx="9">
                  <c:v>31725.331067479572</c:v>
                </c:pt>
                <c:pt idx="10">
                  <c:v>20928.363167071515</c:v>
                </c:pt>
                <c:pt idx="11">
                  <c:v>20935.35607853263</c:v>
                </c:pt>
                <c:pt idx="12">
                  <c:v>20935.35607853263</c:v>
                </c:pt>
                <c:pt idx="13">
                  <c:v>20935.35607853263</c:v>
                </c:pt>
                <c:pt idx="14">
                  <c:v>20935.35607853263</c:v>
                </c:pt>
                <c:pt idx="15">
                  <c:v>20935.35607853263</c:v>
                </c:pt>
              </c:numCache>
            </c:numRef>
          </c:val>
        </c:ser>
        <c:ser>
          <c:idx val="2"/>
          <c:order val="2"/>
          <c:tx>
            <c:strRef>
              <c:f>'Свод по цехам_Потери добычи'!$A$13</c:f>
              <c:strCache>
                <c:ptCount val="1"/>
                <c:pt idx="0">
                  <c:v>Цех 3</c:v>
                </c:pt>
              </c:strCache>
            </c:strRef>
          </c:tx>
          <c:cat>
            <c:numRef>
              <c:f>'Свод по цехам_Потери добычи'!$B$1:$Q$1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'Свод по цехам_Потери добычи'!$B$13:$Q$13</c:f>
              <c:numCache>
                <c:formatCode>#,##0.000</c:formatCode>
                <c:ptCount val="16"/>
                <c:pt idx="0">
                  <c:v>4735.9795711344395</c:v>
                </c:pt>
                <c:pt idx="1">
                  <c:v>5009.3454044718328</c:v>
                </c:pt>
                <c:pt idx="2">
                  <c:v>5333.3685046869887</c:v>
                </c:pt>
                <c:pt idx="3">
                  <c:v>5642.3861166846318</c:v>
                </c:pt>
                <c:pt idx="4">
                  <c:v>5698.1388783744014</c:v>
                </c:pt>
                <c:pt idx="5">
                  <c:v>6121.8892176438021</c:v>
                </c:pt>
                <c:pt idx="6">
                  <c:v>7455.1156038984145</c:v>
                </c:pt>
                <c:pt idx="7">
                  <c:v>12930.697735722422</c:v>
                </c:pt>
                <c:pt idx="8">
                  <c:v>14213.344529362425</c:v>
                </c:pt>
                <c:pt idx="9">
                  <c:v>14346.883718956069</c:v>
                </c:pt>
                <c:pt idx="10">
                  <c:v>9464.2603460122755</c:v>
                </c:pt>
                <c:pt idx="11">
                  <c:v>9464.2603460122755</c:v>
                </c:pt>
                <c:pt idx="12">
                  <c:v>9464.2603460122755</c:v>
                </c:pt>
                <c:pt idx="13">
                  <c:v>9464.2603460122755</c:v>
                </c:pt>
                <c:pt idx="14">
                  <c:v>9464.2603460122755</c:v>
                </c:pt>
                <c:pt idx="15">
                  <c:v>9464.2603460122755</c:v>
                </c:pt>
              </c:numCache>
            </c:numRef>
          </c:val>
        </c:ser>
        <c:ser>
          <c:idx val="3"/>
          <c:order val="3"/>
          <c:tx>
            <c:strRef>
              <c:f>'Свод по цехам_Потери добычи'!$A$14</c:f>
              <c:strCache>
                <c:ptCount val="1"/>
                <c:pt idx="0">
                  <c:v>Цех 4</c:v>
                </c:pt>
              </c:strCache>
            </c:strRef>
          </c:tx>
          <c:cat>
            <c:numRef>
              <c:f>'Свод по цехам_Потери добычи'!$B$1:$Q$1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'Свод по цехам_Потери добычи'!$B$14:$Q$14</c:f>
              <c:numCache>
                <c:formatCode>#,##0.000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1.1059514834552928</c:v>
                </c:pt>
                <c:pt idx="5">
                  <c:v>2.2119029669105856</c:v>
                </c:pt>
                <c:pt idx="6">
                  <c:v>1892.7115904991556</c:v>
                </c:pt>
                <c:pt idx="7">
                  <c:v>2688.8090205691892</c:v>
                </c:pt>
                <c:pt idx="8">
                  <c:v>2819.5821704936634</c:v>
                </c:pt>
                <c:pt idx="9">
                  <c:v>2821.3294671741996</c:v>
                </c:pt>
                <c:pt idx="10">
                  <c:v>1861.1565495531624</c:v>
                </c:pt>
                <c:pt idx="11">
                  <c:v>1862.5000432573052</c:v>
                </c:pt>
                <c:pt idx="12">
                  <c:v>1862.5000432573052</c:v>
                </c:pt>
                <c:pt idx="13">
                  <c:v>1862.5000432573052</c:v>
                </c:pt>
                <c:pt idx="14">
                  <c:v>1862.5000432573052</c:v>
                </c:pt>
                <c:pt idx="15">
                  <c:v>1862.5000432573052</c:v>
                </c:pt>
              </c:numCache>
            </c:numRef>
          </c:val>
        </c:ser>
        <c:ser>
          <c:idx val="4"/>
          <c:order val="4"/>
          <c:tx>
            <c:strRef>
              <c:f>'Свод по цехам_Потери добычи'!$A$15</c:f>
              <c:strCache>
                <c:ptCount val="1"/>
                <c:pt idx="0">
                  <c:v>Цех 5</c:v>
                </c:pt>
              </c:strCache>
            </c:strRef>
          </c:tx>
          <c:cat>
            <c:numRef>
              <c:f>'Свод по цехам_Потери добычи'!$B$1:$Q$1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'Свод по цехам_Потери добычи'!$B$15:$Q$15</c:f>
              <c:numCache>
                <c:formatCode>#,##0.000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634.06342368464243</c:v>
                </c:pt>
                <c:pt idx="5">
                  <c:v>3488.2543636865985</c:v>
                </c:pt>
                <c:pt idx="6">
                  <c:v>5990.1717518335281</c:v>
                </c:pt>
                <c:pt idx="7">
                  <c:v>7419.4870187159158</c:v>
                </c:pt>
                <c:pt idx="8">
                  <c:v>8620.9278345939165</c:v>
                </c:pt>
                <c:pt idx="9">
                  <c:v>8620.9278345939165</c:v>
                </c:pt>
                <c:pt idx="10">
                  <c:v>5686.9984485186524</c:v>
                </c:pt>
                <c:pt idx="11">
                  <c:v>5686.9984485186524</c:v>
                </c:pt>
                <c:pt idx="12">
                  <c:v>5686.9984485186524</c:v>
                </c:pt>
                <c:pt idx="13">
                  <c:v>5686.9984485186524</c:v>
                </c:pt>
                <c:pt idx="14">
                  <c:v>5686.9984485186524</c:v>
                </c:pt>
                <c:pt idx="15">
                  <c:v>5686.9984485186524</c:v>
                </c:pt>
              </c:numCache>
            </c:numRef>
          </c:val>
        </c:ser>
        <c:ser>
          <c:idx val="5"/>
          <c:order val="5"/>
          <c:tx>
            <c:strRef>
              <c:f>'Свод по цехам_Потери добычи'!$A$16</c:f>
              <c:strCache>
                <c:ptCount val="1"/>
                <c:pt idx="0">
                  <c:v>Цех 6</c:v>
                </c:pt>
              </c:strCache>
            </c:strRef>
          </c:tx>
          <c:cat>
            <c:numRef>
              <c:f>'Свод по цехам_Потери добычи'!$B$1:$Q$1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'Свод по цехам_Потери добычи'!$B$16:$Q$16</c:f>
              <c:numCache>
                <c:formatCode>#,##0.000</c:formatCode>
                <c:ptCount val="16"/>
                <c:pt idx="0">
                  <c:v>311.59086897880201</c:v>
                </c:pt>
                <c:pt idx="1">
                  <c:v>329.57622898285905</c:v>
                </c:pt>
                <c:pt idx="2">
                  <c:v>350.89444580554311</c:v>
                </c:pt>
                <c:pt idx="3">
                  <c:v>602.15474901087214</c:v>
                </c:pt>
                <c:pt idx="4">
                  <c:v>602.15474901087214</c:v>
                </c:pt>
                <c:pt idx="5">
                  <c:v>1170.0549324813346</c:v>
                </c:pt>
                <c:pt idx="6">
                  <c:v>2911.800328093123</c:v>
                </c:pt>
                <c:pt idx="7">
                  <c:v>4019.1197944476962</c:v>
                </c:pt>
                <c:pt idx="8">
                  <c:v>4019.1197944476962</c:v>
                </c:pt>
                <c:pt idx="9">
                  <c:v>4534.0188450201867</c:v>
                </c:pt>
                <c:pt idx="10">
                  <c:v>2990.9725068935941</c:v>
                </c:pt>
                <c:pt idx="11">
                  <c:v>3077.0323289378671</c:v>
                </c:pt>
                <c:pt idx="12">
                  <c:v>3077.0323289378671</c:v>
                </c:pt>
                <c:pt idx="13">
                  <c:v>3077.0323289378671</c:v>
                </c:pt>
                <c:pt idx="14">
                  <c:v>3077.0323289378671</c:v>
                </c:pt>
                <c:pt idx="15">
                  <c:v>3077.0323289378671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190272"/>
        <c:axId val="161191808"/>
      </c:areaChart>
      <c:catAx>
        <c:axId val="16119027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61191808"/>
        <c:crosses val="autoZero"/>
        <c:auto val="1"/>
        <c:lblAlgn val="ctr"/>
        <c:lblOffset val="100"/>
        <c:noMultiLvlLbl val="0"/>
      </c:catAx>
      <c:valAx>
        <c:axId val="1611918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out"/>
        <c:tickLblPos val="nextTo"/>
        <c:crossAx val="16119027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7376162094374717"/>
          <c:y val="6.5547924310508404E-2"/>
          <c:w val="7.8630205419252586E-2"/>
          <c:h val="0.2699512717978359"/>
        </c:manualLayout>
      </c:layout>
      <c:overlay val="0"/>
      <c:spPr>
        <a:solidFill>
          <a:schemeClr val="bg1"/>
        </a:solidFill>
        <a:ln w="19050">
          <a:solidFill>
            <a:schemeClr val="tx1"/>
          </a:solidFill>
        </a:ln>
      </c:spPr>
    </c:legend>
    <c:plotVisOnly val="1"/>
    <c:dispBlanksAs val="zero"/>
    <c:showDLblsOverMax val="0"/>
  </c:chart>
  <c:txPr>
    <a:bodyPr/>
    <a:lstStyle/>
    <a:p>
      <a:pPr>
        <a:defRPr sz="1400" b="1"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Диаграмма3"/>
  <sheetViews>
    <sheetView zoomScale="127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Диаграмма4"/>
  <sheetViews>
    <sheetView zoomScale="127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Диаграмма5"/>
  <sheetViews>
    <sheetView zoomScale="127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Диаграмма6"/>
  <sheetViews>
    <sheetView zoomScale="127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Диаграмма8"/>
  <sheetViews>
    <sheetView zoomScale="127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Диаграмма9"/>
  <sheetViews>
    <sheetView zoomScale="127" workbookViewId="0" zoomToFit="1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Диаграмма10"/>
  <sheetViews>
    <sheetView zoomScale="127" workbookViewId="0" zoomToFit="1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Диаграмма11"/>
  <sheetViews>
    <sheetView zoomScale="12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79191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79191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79191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79191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79191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79191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79191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79191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vv/Application%20Data/Microsoft/Excel/&#1056;&#1072;&#1089;&#1095;&#1077;&#1090;%20&#1084;&#1077;&#1088;&#1086;&#1087;&#1088;&#1080;&#1103;&#1090;&#1080;&#1081;%20&#1087;&#1086;%201%20&#1094;&#1077;&#1093;&#1091;_2016-01-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vv/Application%20Data/Microsoft/Excel/&#1056;&#1072;&#1089;&#1095;&#1077;&#1090;%20&#1084;&#1077;&#1088;&#1086;&#1087;&#1088;&#1080;&#1103;&#1090;&#1080;&#1081;%20&#1087;&#1086;%202%20&#1094;&#1077;&#1093;&#1091;_2016-01-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vv/Application%20Data/Microsoft/Excel/&#1056;&#1072;&#1089;&#1095;&#1077;&#1090;%20&#1084;&#1077;&#1088;&#1086;&#1087;&#1088;&#1080;&#1103;&#1090;&#1080;&#1081;%20&#1087;&#1086;%203%20&#1094;&#1077;&#1093;&#1091;_2016-01-1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vv/Application%20Data/Microsoft/Excel/&#1056;&#1072;&#1089;&#1095;&#1077;&#1090;%20&#1084;&#1077;&#1088;&#1086;&#1087;&#1088;&#1080;&#1103;&#1090;&#1080;&#1081;%20&#1087;&#1086;%204%20&#1094;&#1077;&#1093;&#1091;_2016-01-1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vv/Application%20Data/Microsoft/Excel/&#1056;&#1072;&#1089;&#1095;&#1077;&#1090;%20&#1084;&#1077;&#1088;&#1086;&#1087;&#1088;&#1080;&#1103;&#1090;&#1080;&#1081;%20&#1087;&#1086;%205%20&#1094;&#1077;&#1093;&#1091;_2016-01-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vv/Application%20Data/Microsoft/Excel/&#1056;&#1072;&#1089;&#1095;&#1077;&#1090;%20&#1084;&#1077;&#1088;&#1086;&#1087;&#1088;&#1080;&#1103;&#1090;&#1080;&#1081;%20&#1087;&#1086;%206%20&#1094;&#1077;&#1093;&#1091;_2016-01-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цех result"/>
      <sheetName val="1 цех_CapEx"/>
      <sheetName val="Цех 1_OpEx"/>
      <sheetName val="Цех 1_Аморт"/>
      <sheetName val="Цех 1_Потери добычи"/>
      <sheetName val="Цех 1_Энергоснабжение"/>
      <sheetName val="Цех 1_Затраты по Мероприятиям"/>
      <sheetName val="Цех 1_NPV"/>
      <sheetName val="Потери"/>
      <sheetName val="Цех 1_Потери добычи (физ объем)"/>
    </sheetNames>
    <sheetDataSet>
      <sheetData sheetId="0" refreshError="1">
        <row r="8">
          <cell r="C8">
            <v>2015</v>
          </cell>
          <cell r="D8">
            <v>2017</v>
          </cell>
        </row>
        <row r="9">
          <cell r="C9">
            <v>2018</v>
          </cell>
          <cell r="D9">
            <v>2020</v>
          </cell>
        </row>
        <row r="10">
          <cell r="C10">
            <v>2021</v>
          </cell>
          <cell r="D10">
            <v>2022</v>
          </cell>
        </row>
        <row r="11">
          <cell r="C11">
            <v>2024</v>
          </cell>
          <cell r="D11">
            <v>2025</v>
          </cell>
        </row>
        <row r="12">
          <cell r="C12">
            <v>2015</v>
          </cell>
          <cell r="D12">
            <v>2021</v>
          </cell>
        </row>
        <row r="13">
          <cell r="C13">
            <v>2018</v>
          </cell>
          <cell r="D13">
            <v>2019</v>
          </cell>
        </row>
        <row r="14">
          <cell r="C14">
            <v>2021</v>
          </cell>
          <cell r="D14">
            <v>2022</v>
          </cell>
        </row>
        <row r="15">
          <cell r="C15">
            <v>2016</v>
          </cell>
          <cell r="D15">
            <v>2018</v>
          </cell>
        </row>
        <row r="16">
          <cell r="C16">
            <v>2015</v>
          </cell>
          <cell r="D16">
            <v>2018</v>
          </cell>
        </row>
        <row r="17">
          <cell r="C17">
            <v>2018</v>
          </cell>
          <cell r="D17">
            <v>2020</v>
          </cell>
        </row>
        <row r="18">
          <cell r="C18">
            <v>2019</v>
          </cell>
          <cell r="D18">
            <v>2020</v>
          </cell>
        </row>
        <row r="19">
          <cell r="C19">
            <v>2018</v>
          </cell>
          <cell r="D19">
            <v>2020</v>
          </cell>
        </row>
        <row r="20">
          <cell r="C20">
            <v>2019</v>
          </cell>
          <cell r="D20">
            <v>2020</v>
          </cell>
        </row>
        <row r="21">
          <cell r="C21">
            <v>2016</v>
          </cell>
          <cell r="D21">
            <v>2021</v>
          </cell>
        </row>
        <row r="22">
          <cell r="C22">
            <v>2016</v>
          </cell>
          <cell r="D22">
            <v>2021</v>
          </cell>
        </row>
        <row r="23">
          <cell r="C23">
            <v>2016</v>
          </cell>
          <cell r="D23">
            <v>2020</v>
          </cell>
        </row>
        <row r="24">
          <cell r="C24">
            <v>2018</v>
          </cell>
          <cell r="D24">
            <v>2020</v>
          </cell>
        </row>
        <row r="25">
          <cell r="C25">
            <v>2019</v>
          </cell>
          <cell r="D25">
            <v>2021</v>
          </cell>
        </row>
        <row r="26">
          <cell r="C26">
            <v>2019</v>
          </cell>
          <cell r="D26">
            <v>2019</v>
          </cell>
          <cell r="E26">
            <v>1881922.5</v>
          </cell>
        </row>
        <row r="27">
          <cell r="C27">
            <v>2017</v>
          </cell>
          <cell r="D27">
            <v>2018</v>
          </cell>
        </row>
        <row r="29">
          <cell r="C29">
            <v>2021</v>
          </cell>
          <cell r="D29">
            <v>2022</v>
          </cell>
        </row>
        <row r="31">
          <cell r="C31">
            <v>2024</v>
          </cell>
          <cell r="D31">
            <v>2025</v>
          </cell>
        </row>
        <row r="32">
          <cell r="C32">
            <v>2022</v>
          </cell>
          <cell r="D32">
            <v>2023</v>
          </cell>
        </row>
        <row r="33">
          <cell r="C33">
            <v>2020</v>
          </cell>
          <cell r="D33">
            <v>2021</v>
          </cell>
        </row>
        <row r="38">
          <cell r="C38">
            <v>2019</v>
          </cell>
          <cell r="D38">
            <v>2021</v>
          </cell>
        </row>
        <row r="39">
          <cell r="C39">
            <v>2019</v>
          </cell>
          <cell r="D39">
            <v>2021</v>
          </cell>
        </row>
        <row r="40">
          <cell r="C40">
            <v>2019</v>
          </cell>
          <cell r="D40">
            <v>2021</v>
          </cell>
        </row>
        <row r="41">
          <cell r="C41">
            <v>2019</v>
          </cell>
          <cell r="D41">
            <v>2021</v>
          </cell>
        </row>
        <row r="49">
          <cell r="C49">
            <v>2020</v>
          </cell>
          <cell r="D49">
            <v>2021</v>
          </cell>
        </row>
        <row r="50">
          <cell r="C50">
            <v>2018</v>
          </cell>
          <cell r="D50">
            <v>2020</v>
          </cell>
        </row>
        <row r="52">
          <cell r="C52">
            <v>2016</v>
          </cell>
          <cell r="D52">
            <v>2021</v>
          </cell>
        </row>
        <row r="53">
          <cell r="C53">
            <v>2020</v>
          </cell>
          <cell r="D53">
            <v>2021</v>
          </cell>
        </row>
        <row r="54">
          <cell r="C54">
            <v>2024</v>
          </cell>
          <cell r="D54">
            <v>2025</v>
          </cell>
        </row>
        <row r="55">
          <cell r="C55">
            <v>2024</v>
          </cell>
          <cell r="D55">
            <v>2025</v>
          </cell>
        </row>
        <row r="56">
          <cell r="C56">
            <v>2024</v>
          </cell>
          <cell r="D56">
            <v>2025</v>
          </cell>
        </row>
        <row r="58">
          <cell r="C58">
            <v>2017</v>
          </cell>
          <cell r="D58">
            <v>2018</v>
          </cell>
        </row>
        <row r="59">
          <cell r="C59">
            <v>2020</v>
          </cell>
          <cell r="D59">
            <v>2021</v>
          </cell>
        </row>
      </sheetData>
      <sheetData sheetId="1" refreshError="1">
        <row r="1">
          <cell r="F1">
            <v>2015</v>
          </cell>
          <cell r="G1">
            <v>2016</v>
          </cell>
          <cell r="H1">
            <v>2017</v>
          </cell>
          <cell r="I1">
            <v>2018</v>
          </cell>
          <cell r="J1">
            <v>2019</v>
          </cell>
          <cell r="K1">
            <v>2020</v>
          </cell>
          <cell r="L1">
            <v>2021</v>
          </cell>
          <cell r="M1">
            <v>2022</v>
          </cell>
          <cell r="N1">
            <v>2023</v>
          </cell>
          <cell r="O1">
            <v>2024</v>
          </cell>
          <cell r="P1">
            <v>2025</v>
          </cell>
          <cell r="Q1">
            <v>2026</v>
          </cell>
          <cell r="R1">
            <v>2027</v>
          </cell>
          <cell r="S1">
            <v>2028</v>
          </cell>
          <cell r="T1">
            <v>2029</v>
          </cell>
          <cell r="U1">
            <v>2030</v>
          </cell>
        </row>
        <row r="3">
          <cell r="J3">
            <v>1.2956237938799999</v>
          </cell>
        </row>
        <row r="8">
          <cell r="B8" t="str">
            <v>ПС 110/35кВ 2х25000 кВА "Мухановская"</v>
          </cell>
          <cell r="F8">
            <v>8481.7318800000012</v>
          </cell>
          <cell r="G8">
            <v>0</v>
          </cell>
          <cell r="H8">
            <v>153952.65043730958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V8">
            <v>162434.38231730959</v>
          </cell>
          <cell r="W8">
            <v>1</v>
          </cell>
        </row>
        <row r="9">
          <cell r="B9" t="str">
            <v>ПС 110/35кВ 2х25000 кВА "Мухановская" - 2-я сш</v>
          </cell>
          <cell r="F9">
            <v>0</v>
          </cell>
          <cell r="G9">
            <v>0</v>
          </cell>
          <cell r="H9">
            <v>0</v>
          </cell>
          <cell r="I9">
            <v>4316.323455901781</v>
          </cell>
          <cell r="J9">
            <v>0</v>
          </cell>
          <cell r="K9">
            <v>156365.68014433692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V9">
            <v>160682.00360023871</v>
          </cell>
          <cell r="W9">
            <v>1</v>
          </cell>
        </row>
        <row r="10">
          <cell r="B10" t="str">
            <v>ПС 110/35кВ 2х25000 кВА "Мухановская" - АПВ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247.13407786190768</v>
          </cell>
          <cell r="M10">
            <v>8150.4818878857159</v>
          </cell>
          <cell r="N10">
            <v>0</v>
          </cell>
          <cell r="O10">
            <v>0</v>
          </cell>
          <cell r="P10">
            <v>0</v>
          </cell>
          <cell r="V10">
            <v>8397.6159657476237</v>
          </cell>
          <cell r="W10">
            <v>1</v>
          </cell>
        </row>
        <row r="11">
          <cell r="B11" t="str">
            <v>ПС 110/35/6 кВ 2х16000 кВА "Лугань"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13158.945995738244</v>
          </cell>
          <cell r="P11">
            <v>213990.77978269529</v>
          </cell>
          <cell r="V11">
            <v>227149.72577843352</v>
          </cell>
          <cell r="W11">
            <v>1</v>
          </cell>
        </row>
        <row r="12">
          <cell r="B12" t="str">
            <v>ПС 110/35/6 кВ 2х16000 кВА "Лугань"</v>
          </cell>
          <cell r="F12">
            <v>8618.0890799999997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202017.49218289921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V12">
            <v>210635.58126289921</v>
          </cell>
          <cell r="W12">
            <v>1</v>
          </cell>
        </row>
        <row r="13">
          <cell r="B13" t="str">
            <v>ПС 110/35/6 кВ 2х25000 кВА "Подгорная"</v>
          </cell>
          <cell r="F13">
            <v>0</v>
          </cell>
          <cell r="G13">
            <v>0</v>
          </cell>
          <cell r="H13">
            <v>0</v>
          </cell>
          <cell r="I13">
            <v>12407.836108003783</v>
          </cell>
          <cell r="J13">
            <v>206441.5771649669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V13">
            <v>218849.41327297068</v>
          </cell>
          <cell r="W13">
            <v>1</v>
          </cell>
        </row>
        <row r="14">
          <cell r="B14" t="str">
            <v>ПС 110/35/6 кВ 2х25000 кВА "Подгорная"  (БСК)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574.16610897652993</v>
          </cell>
          <cell r="M14">
            <v>18935.998274045956</v>
          </cell>
          <cell r="N14">
            <v>0</v>
          </cell>
          <cell r="O14">
            <v>0</v>
          </cell>
          <cell r="P14">
            <v>0</v>
          </cell>
          <cell r="V14">
            <v>19510.164383022486</v>
          </cell>
          <cell r="W14">
            <v>1</v>
          </cell>
        </row>
        <row r="15">
          <cell r="B15" t="str">
            <v>ПС 110/35/6 кВ 2х25000 кВА "Тимашевская"</v>
          </cell>
          <cell r="F15">
            <v>0</v>
          </cell>
          <cell r="G15">
            <v>9270.5329448400007</v>
          </cell>
          <cell r="H15">
            <v>0</v>
          </cell>
          <cell r="I15">
            <v>162112.14091048698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V15">
            <v>171382.67385532698</v>
          </cell>
          <cell r="W15">
            <v>1</v>
          </cell>
        </row>
        <row r="16">
          <cell r="B16" t="str">
            <v>ПС 35/6кВ 1х2500 кВА "Кинель-Черкасская"</v>
          </cell>
          <cell r="F16">
            <v>283.38438000000002</v>
          </cell>
          <cell r="G16">
            <v>0</v>
          </cell>
          <cell r="H16">
            <v>0</v>
          </cell>
          <cell r="I16">
            <v>11178.429352657678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V16">
            <v>11461.813732657678</v>
          </cell>
          <cell r="W16">
            <v>1</v>
          </cell>
        </row>
        <row r="17">
          <cell r="B17" t="str">
            <v>ПС 35/6кВ 1х1600 кВА "Винно-Банновская"</v>
          </cell>
          <cell r="F17">
            <v>0</v>
          </cell>
          <cell r="G17">
            <v>0</v>
          </cell>
          <cell r="H17">
            <v>0</v>
          </cell>
          <cell r="I17">
            <v>637.93390009747316</v>
          </cell>
          <cell r="J17">
            <v>0</v>
          </cell>
          <cell r="K17">
            <v>23110.16984593212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V17">
            <v>23748.103746029592</v>
          </cell>
          <cell r="W17">
            <v>1</v>
          </cell>
        </row>
        <row r="18">
          <cell r="B18" t="str">
            <v>ПС 35/6кВ 2х6300 кВА "Дмитриевская"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2477.8192487025253</v>
          </cell>
          <cell r="K18">
            <v>84522.544271990977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V18">
            <v>87000.3635206935</v>
          </cell>
          <cell r="W18">
            <v>1</v>
          </cell>
        </row>
        <row r="19">
          <cell r="B19" t="str">
            <v>ПС 35/6кВ 2х4000 кВА "Марьевская"</v>
          </cell>
          <cell r="F19">
            <v>0</v>
          </cell>
          <cell r="G19">
            <v>0</v>
          </cell>
          <cell r="H19">
            <v>0</v>
          </cell>
          <cell r="I19">
            <v>1648.639554234192</v>
          </cell>
          <cell r="J19">
            <v>0</v>
          </cell>
          <cell r="K19">
            <v>59724.589189024839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V19">
            <v>61373.228743259031</v>
          </cell>
          <cell r="W19">
            <v>1</v>
          </cell>
        </row>
        <row r="20">
          <cell r="B20" t="str">
            <v>ПС 35/6кВ 1х4000 кВА "Ново-Ключевская"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962.73559659674038</v>
          </cell>
          <cell r="K20">
            <v>32840.515759242473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V20">
            <v>33803.251355839217</v>
          </cell>
          <cell r="W20">
            <v>1</v>
          </cell>
        </row>
        <row r="21">
          <cell r="B21" t="str">
            <v>ПС 35/6кВ 2х10000 кВА "Промысловая"</v>
          </cell>
          <cell r="F21">
            <v>0</v>
          </cell>
          <cell r="G21">
            <v>846.47686667999994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35939.007986743265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V21">
            <v>36785.484853423266</v>
          </cell>
          <cell r="W21">
            <v>1</v>
          </cell>
        </row>
        <row r="22">
          <cell r="B22" t="str">
            <v>ПС 35/6кВ 2х10000 кВА "Промысловая" (замена тр-ров)</v>
          </cell>
          <cell r="F22">
            <v>0</v>
          </cell>
          <cell r="G22">
            <v>1019.59088472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43288.938412318326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V22">
            <v>44308.529297038323</v>
          </cell>
          <cell r="W22">
            <v>1</v>
          </cell>
        </row>
        <row r="23">
          <cell r="B23" t="str">
            <v>ПС 35/6кВ 1х2500 кВА "Семеновская"</v>
          </cell>
          <cell r="F23">
            <v>0</v>
          </cell>
          <cell r="G23">
            <v>1480.1371242600001</v>
          </cell>
          <cell r="H23">
            <v>0</v>
          </cell>
          <cell r="I23">
            <v>0</v>
          </cell>
          <cell r="J23">
            <v>0</v>
          </cell>
          <cell r="K23">
            <v>59849.929608424201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V23">
            <v>61330.066732684201</v>
          </cell>
          <cell r="W23">
            <v>1</v>
          </cell>
        </row>
        <row r="24">
          <cell r="B24" t="str">
            <v>ПС 35/6кВ 1х4000 кВА "Хилки"</v>
          </cell>
          <cell r="F24">
            <v>0</v>
          </cell>
          <cell r="G24">
            <v>0</v>
          </cell>
          <cell r="H24">
            <v>0</v>
          </cell>
          <cell r="I24">
            <v>1262.3357050591715</v>
          </cell>
          <cell r="J24">
            <v>0</v>
          </cell>
          <cell r="K24">
            <v>45730.118029539532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V24">
            <v>46992.453734598705</v>
          </cell>
          <cell r="W24">
            <v>1</v>
          </cell>
        </row>
        <row r="25">
          <cell r="B25" t="str">
            <v>ПС 35/6кВ 2х16000 кВА "Восточная"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3150.0024251923533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V25">
            <v>3150.0024251923533</v>
          </cell>
          <cell r="W25">
            <v>1</v>
          </cell>
        </row>
        <row r="26">
          <cell r="B26" t="str">
            <v>ПС 35/6кВ 2х16000 кВА "Восточная"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28717.326482138025</v>
          </cell>
          <cell r="K26">
            <v>27724.411373109382</v>
          </cell>
          <cell r="L26">
            <v>29110.631941764852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V26">
            <v>85552.369797012259</v>
          </cell>
          <cell r="W26">
            <v>1</v>
          </cell>
        </row>
        <row r="27">
          <cell r="B27" t="str">
            <v>ПС 35/6кВ Черновская</v>
          </cell>
          <cell r="F27">
            <v>0</v>
          </cell>
          <cell r="G27">
            <v>0</v>
          </cell>
          <cell r="H27">
            <v>605.82516628439987</v>
          </cell>
          <cell r="I27">
            <v>20626.529436484965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V27">
            <v>21232.354602769366</v>
          </cell>
          <cell r="W27">
            <v>1</v>
          </cell>
        </row>
        <row r="29">
          <cell r="B29" t="str">
            <v>ПС 35/6кВ 1х4000 1х6300 кВА "Неклюдовская"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750.48489705862039</v>
          </cell>
          <cell r="M29">
            <v>24934.115134208558</v>
          </cell>
          <cell r="N29">
            <v>0</v>
          </cell>
          <cell r="O29">
            <v>0</v>
          </cell>
          <cell r="P29">
            <v>0</v>
          </cell>
          <cell r="V29">
            <v>25684.600031267179</v>
          </cell>
          <cell r="W29">
            <v>1</v>
          </cell>
        </row>
        <row r="31">
          <cell r="B31" t="str">
            <v>ПС 110/35/6 кВ Тимашевская (замена тр-в)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7983.0394992264437</v>
          </cell>
          <cell r="P31">
            <v>267926.7716730379</v>
          </cell>
          <cell r="V31">
            <v>275909.81117226434</v>
          </cell>
          <cell r="W31">
            <v>1</v>
          </cell>
        </row>
        <row r="32">
          <cell r="B32" t="str">
            <v>ПС 110/35/6 кВ Тимашевская (все кроме замены тр-в)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6623.5556356544148</v>
          </cell>
          <cell r="N32">
            <v>107505.36182523746</v>
          </cell>
          <cell r="O32">
            <v>0</v>
          </cell>
          <cell r="P32">
            <v>0</v>
          </cell>
          <cell r="V32">
            <v>114128.91746089187</v>
          </cell>
          <cell r="W32">
            <v>1</v>
          </cell>
        </row>
        <row r="33">
          <cell r="B33" t="str">
            <v>ПС 110/35/6 кВ Тимашевская (все кроме замены тр-в и реконстр. ОРУ)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296.37606896869579</v>
          </cell>
          <cell r="L33">
            <v>10061.967541487218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V33">
            <v>10358.343610455913</v>
          </cell>
          <cell r="W33">
            <v>1</v>
          </cell>
        </row>
        <row r="38">
          <cell r="B38" t="str">
            <v>ПС 35/6 Ю-Неприк 2*4000 (новая ПС)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4125.8307925632926</v>
          </cell>
          <cell r="K38">
            <v>0</v>
          </cell>
          <cell r="L38">
            <v>147775.91295493758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V38">
            <v>151901.74374750088</v>
          </cell>
          <cell r="W38">
            <v>1</v>
          </cell>
        </row>
        <row r="39">
          <cell r="B39" t="str">
            <v xml:space="preserve">ПС 35/6 Гребенная  2*2500 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4.8620874112934755</v>
          </cell>
          <cell r="K39">
            <v>0</v>
          </cell>
          <cell r="L39">
            <v>174.14660033215122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V39">
            <v>179.00868774344471</v>
          </cell>
          <cell r="W39">
            <v>1</v>
          </cell>
        </row>
        <row r="40">
          <cell r="B40" t="str">
            <v>ПС 35/6 Елховская
2* 4000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1602.5136154281254</v>
          </cell>
          <cell r="K40">
            <v>0</v>
          </cell>
          <cell r="L40">
            <v>56951.348311647598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V40">
            <v>58553.861927075726</v>
          </cell>
          <cell r="W40">
            <v>1</v>
          </cell>
        </row>
        <row r="41">
          <cell r="B41" t="str">
            <v xml:space="preserve">ПС 35/6 Долматовская  1*2500 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1069.9670706979905</v>
          </cell>
          <cell r="K41">
            <v>0</v>
          </cell>
          <cell r="L41">
            <v>38323.278062957601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V41">
            <v>39393.24513365559</v>
          </cell>
          <cell r="W41">
            <v>1</v>
          </cell>
        </row>
        <row r="49">
          <cell r="B49" t="str">
            <v>ПС 35/6 1х4000 кВА кВ "Н-Ключевская"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2770.852942165262</v>
          </cell>
          <cell r="L49">
            <v>64657.149650762018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V49">
            <v>67428.002592927282</v>
          </cell>
          <cell r="W49">
            <v>1</v>
          </cell>
        </row>
        <row r="50">
          <cell r="B50" t="str">
            <v xml:space="preserve">ПС 35/6 кВ 2х3200 кВА "В-Черновская" </v>
          </cell>
          <cell r="F50">
            <v>0</v>
          </cell>
          <cell r="G50">
            <v>0</v>
          </cell>
          <cell r="H50">
            <v>0</v>
          </cell>
          <cell r="I50">
            <v>1477.0405510551288</v>
          </cell>
          <cell r="J50">
            <v>0</v>
          </cell>
          <cell r="K50">
            <v>53508.142456448215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V50">
            <v>54985.183007503343</v>
          </cell>
          <cell r="W50">
            <v>1</v>
          </cell>
        </row>
        <row r="52">
          <cell r="B52" t="str">
            <v>ПС 35/6кВ 2х6300 кВА "Западная"</v>
          </cell>
          <cell r="F52">
            <v>0</v>
          </cell>
          <cell r="G52">
            <v>842.77587494568093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35781.874370061865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V52">
            <v>36624.65024500755</v>
          </cell>
          <cell r="W52">
            <v>1</v>
          </cell>
        </row>
        <row r="53">
          <cell r="B53" t="str">
            <v>ПС 35/6кВ Берендеи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182.45100977425201</v>
          </cell>
          <cell r="L53">
            <v>6194.2117818358556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V53">
            <v>6376.6627916101079</v>
          </cell>
          <cell r="W53">
            <v>1</v>
          </cell>
        </row>
        <row r="54">
          <cell r="B54" t="str">
            <v xml:space="preserve">ПС 110/35/6 кВ УКПН-2 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133.57295404861119</v>
          </cell>
          <cell r="P54">
            <v>4482.975483779489</v>
          </cell>
          <cell r="V54">
            <v>4616.5484378280998</v>
          </cell>
          <cell r="W54">
            <v>1</v>
          </cell>
        </row>
        <row r="55">
          <cell r="B55" t="str">
            <v>ПС 35/6 кВ Бирюковская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1243.0855222558455</v>
          </cell>
          <cell r="P55">
            <v>41720.436297950691</v>
          </cell>
          <cell r="V55">
            <v>42963.521820206537</v>
          </cell>
          <cell r="W55">
            <v>1</v>
          </cell>
        </row>
        <row r="56">
          <cell r="B56" t="str">
            <v>ПС 110/35/6 кВ Подгорная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7983.0394992264437</v>
          </cell>
          <cell r="P56">
            <v>267926.7716730379</v>
          </cell>
          <cell r="V56">
            <v>275909.81117226434</v>
          </cell>
          <cell r="W56">
            <v>1</v>
          </cell>
        </row>
        <row r="58">
          <cell r="B58" t="str">
            <v xml:space="preserve">ПС 35/6кВ Хилки </v>
          </cell>
          <cell r="F58">
            <v>0</v>
          </cell>
          <cell r="G58">
            <v>0</v>
          </cell>
          <cell r="H58">
            <v>602.03904270240002</v>
          </cell>
          <cell r="I58">
            <v>20497.623286888611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V58">
            <v>21099.66232959101</v>
          </cell>
          <cell r="W58">
            <v>1</v>
          </cell>
        </row>
        <row r="59">
          <cell r="B59" t="str">
            <v xml:space="preserve">ПС 35/6 кВ 2х3200 кВА "В-Кохановская" 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2114.9695858641944</v>
          </cell>
          <cell r="L59">
            <v>53028.765693866873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V59">
            <v>55143.735279731067</v>
          </cell>
          <cell r="W59">
            <v>1</v>
          </cell>
        </row>
        <row r="61">
          <cell r="F61">
            <v>17383.20534</v>
          </cell>
          <cell r="G61">
            <v>13459.513695445681</v>
          </cell>
          <cell r="H61">
            <v>155360.01239022438</v>
          </cell>
          <cell r="I61">
            <v>242957.13194838638</v>
          </cell>
          <cell r="J61">
            <v>248552.63448369721</v>
          </cell>
          <cell r="K61">
            <v>548740.75028482103</v>
          </cell>
          <cell r="L61">
            <v>724876.51057551149</v>
          </cell>
          <cell r="M61">
            <v>58644.150931794647</v>
          </cell>
          <cell r="N61">
            <v>107505.36182523746</v>
          </cell>
          <cell r="O61">
            <v>30501.683470495587</v>
          </cell>
          <cell r="P61">
            <v>796047.73491050128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</row>
      </sheetData>
      <sheetData sheetId="2" refreshError="1"/>
      <sheetData sheetId="3" refreshError="1"/>
      <sheetData sheetId="4" refreshError="1">
        <row r="1">
          <cell r="F1">
            <v>2015</v>
          </cell>
          <cell r="G1">
            <v>2016</v>
          </cell>
          <cell r="H1">
            <v>2017</v>
          </cell>
          <cell r="I1">
            <v>2018</v>
          </cell>
          <cell r="J1">
            <v>2019</v>
          </cell>
          <cell r="K1">
            <v>2020</v>
          </cell>
          <cell r="L1">
            <v>2021</v>
          </cell>
          <cell r="M1">
            <v>2022</v>
          </cell>
          <cell r="N1">
            <v>2023</v>
          </cell>
          <cell r="O1">
            <v>2024</v>
          </cell>
          <cell r="P1">
            <v>2025</v>
          </cell>
          <cell r="Q1">
            <v>2026</v>
          </cell>
          <cell r="R1">
            <v>2027</v>
          </cell>
          <cell r="S1">
            <v>2028</v>
          </cell>
          <cell r="T1">
            <v>2029</v>
          </cell>
          <cell r="U1">
            <v>2030</v>
          </cell>
        </row>
        <row r="61">
          <cell r="F61">
            <v>32.300766142195393</v>
          </cell>
          <cell r="G61">
            <v>34.165201096204797</v>
          </cell>
          <cell r="H61">
            <v>36.375133429635838</v>
          </cell>
          <cell r="I61">
            <v>130.06694383437684</v>
          </cell>
          <cell r="J61">
            <v>651.72548886571053</v>
          </cell>
          <cell r="K61">
            <v>709.5261006316548</v>
          </cell>
          <cell r="L61">
            <v>2200.3856154331693</v>
          </cell>
          <cell r="M61">
            <v>7715.3949124356068</v>
          </cell>
          <cell r="N61">
            <v>8940.3341035585654</v>
          </cell>
          <cell r="O61">
            <v>9130.311335315062</v>
          </cell>
          <cell r="P61">
            <v>6023.0252931788827</v>
          </cell>
          <cell r="Q61">
            <v>6312.0209330469797</v>
          </cell>
          <cell r="R61">
            <v>6312.0209330469797</v>
          </cell>
          <cell r="S61">
            <v>6312.0209330469797</v>
          </cell>
          <cell r="T61">
            <v>6312.0209330469797</v>
          </cell>
          <cell r="U61">
            <v>6312.0209330469797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F1">
            <v>2015</v>
          </cell>
          <cell r="G1">
            <v>2016</v>
          </cell>
          <cell r="H1">
            <v>2017</v>
          </cell>
          <cell r="I1">
            <v>2018</v>
          </cell>
          <cell r="J1">
            <v>2019</v>
          </cell>
          <cell r="K1">
            <v>2020</v>
          </cell>
          <cell r="L1">
            <v>2021</v>
          </cell>
          <cell r="M1">
            <v>2022</v>
          </cell>
          <cell r="N1">
            <v>2023</v>
          </cell>
          <cell r="O1">
            <v>2024</v>
          </cell>
          <cell r="P1">
            <v>2025</v>
          </cell>
          <cell r="Q1">
            <v>2026</v>
          </cell>
          <cell r="R1">
            <v>2027</v>
          </cell>
          <cell r="S1">
            <v>2028</v>
          </cell>
          <cell r="T1">
            <v>2029</v>
          </cell>
          <cell r="U1">
            <v>2030</v>
          </cell>
        </row>
        <row r="61">
          <cell r="F61">
            <v>3.6030058285590898</v>
          </cell>
          <cell r="G61">
            <v>3.6030058285590898</v>
          </cell>
          <cell r="H61">
            <v>3.6030058285590898</v>
          </cell>
          <cell r="I61">
            <v>12.883305504422424</v>
          </cell>
          <cell r="J61">
            <v>64.554285128492651</v>
          </cell>
          <cell r="K61">
            <v>70.279513366894292</v>
          </cell>
          <cell r="L61">
            <v>217.95115096468953</v>
          </cell>
          <cell r="M61">
            <v>764.22023008972201</v>
          </cell>
          <cell r="N61">
            <v>885.55210241903978</v>
          </cell>
          <cell r="O61">
            <v>904.36960241903989</v>
          </cell>
          <cell r="P61">
            <v>904.36960241903989</v>
          </cell>
          <cell r="Q61">
            <v>947.7628905435871</v>
          </cell>
          <cell r="R61">
            <v>947.7628905435871</v>
          </cell>
          <cell r="S61">
            <v>947.7628905435871</v>
          </cell>
          <cell r="T61">
            <v>947.7628905435871</v>
          </cell>
          <cell r="U61">
            <v>947.7628905435871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 цех result"/>
      <sheetName val="2 цех_CapEx"/>
      <sheetName val="Цех 2_OpEx"/>
      <sheetName val="Цех 2_Аморт"/>
      <sheetName val="Цех 2_Потери добычи"/>
      <sheetName val="Цех 2_Энергоснабжение"/>
      <sheetName val="Цех 2_Затраты по Мероприятиям"/>
      <sheetName val="Цех 2_NPC"/>
      <sheetName val="Цех 2_NPV"/>
      <sheetName val="Потери"/>
      <sheetName val="Цех 2_Потери добычи (физ объем)"/>
    </sheetNames>
    <sheetDataSet>
      <sheetData sheetId="0">
        <row r="8">
          <cell r="C8">
            <v>2015</v>
          </cell>
          <cell r="D8">
            <v>2018</v>
          </cell>
        </row>
        <row r="9">
          <cell r="C9">
            <v>2014</v>
          </cell>
          <cell r="D9">
            <v>2016</v>
          </cell>
        </row>
        <row r="10">
          <cell r="C10">
            <v>2015</v>
          </cell>
          <cell r="D10">
            <v>2020</v>
          </cell>
        </row>
        <row r="11">
          <cell r="C11">
            <v>2019</v>
          </cell>
          <cell r="D11">
            <v>2020</v>
          </cell>
        </row>
        <row r="16">
          <cell r="C16">
            <v>2016</v>
          </cell>
          <cell r="D16">
            <v>2019</v>
          </cell>
        </row>
        <row r="17">
          <cell r="C17">
            <v>2019</v>
          </cell>
          <cell r="D17">
            <v>2019</v>
          </cell>
          <cell r="E17">
            <v>1051058.3999999999</v>
          </cell>
        </row>
        <row r="18">
          <cell r="C18">
            <v>2019</v>
          </cell>
          <cell r="D18">
            <v>2020</v>
          </cell>
        </row>
        <row r="19">
          <cell r="C19">
            <v>2015</v>
          </cell>
          <cell r="D19">
            <v>2018</v>
          </cell>
        </row>
        <row r="20">
          <cell r="C20">
            <v>2015</v>
          </cell>
          <cell r="D20">
            <v>2018</v>
          </cell>
        </row>
        <row r="21">
          <cell r="C21">
            <v>2018</v>
          </cell>
          <cell r="D21">
            <v>2020</v>
          </cell>
        </row>
        <row r="22">
          <cell r="C22">
            <v>2018</v>
          </cell>
          <cell r="D22">
            <v>2020</v>
          </cell>
        </row>
        <row r="23">
          <cell r="C23">
            <v>2018</v>
          </cell>
          <cell r="D23">
            <v>2020</v>
          </cell>
        </row>
        <row r="24">
          <cell r="C24">
            <v>2019</v>
          </cell>
          <cell r="D24">
            <v>2020</v>
          </cell>
        </row>
        <row r="26">
          <cell r="C26">
            <v>2019</v>
          </cell>
          <cell r="D26">
            <v>2020</v>
          </cell>
        </row>
        <row r="27">
          <cell r="C27">
            <v>2019</v>
          </cell>
          <cell r="D27">
            <v>2020</v>
          </cell>
        </row>
        <row r="28">
          <cell r="C28">
            <v>2024</v>
          </cell>
          <cell r="D28">
            <v>2025</v>
          </cell>
        </row>
        <row r="30">
          <cell r="C30">
            <v>2019</v>
          </cell>
          <cell r="D30">
            <v>2020</v>
          </cell>
        </row>
        <row r="31">
          <cell r="C31">
            <v>2017</v>
          </cell>
          <cell r="D31">
            <v>2018</v>
          </cell>
        </row>
        <row r="32">
          <cell r="C32">
            <v>2021</v>
          </cell>
          <cell r="D32">
            <v>2022</v>
          </cell>
        </row>
        <row r="34">
          <cell r="C34">
            <v>2017</v>
          </cell>
          <cell r="D34">
            <v>2018</v>
          </cell>
        </row>
        <row r="38">
          <cell r="C38">
            <v>2019</v>
          </cell>
          <cell r="D38">
            <v>2021</v>
          </cell>
        </row>
        <row r="41">
          <cell r="C41">
            <v>2018</v>
          </cell>
          <cell r="D41">
            <v>2019</v>
          </cell>
        </row>
        <row r="42">
          <cell r="C42">
            <v>2016</v>
          </cell>
          <cell r="D42">
            <v>2018</v>
          </cell>
        </row>
        <row r="43">
          <cell r="C43">
            <v>2016</v>
          </cell>
          <cell r="D43">
            <v>2019</v>
          </cell>
        </row>
        <row r="44">
          <cell r="C44">
            <v>2019</v>
          </cell>
          <cell r="D44">
            <v>2020</v>
          </cell>
        </row>
      </sheetData>
      <sheetData sheetId="1">
        <row r="1">
          <cell r="F1">
            <v>2015</v>
          </cell>
          <cell r="G1">
            <v>2016</v>
          </cell>
          <cell r="H1">
            <v>2017</v>
          </cell>
          <cell r="I1">
            <v>2018</v>
          </cell>
          <cell r="J1">
            <v>2019</v>
          </cell>
          <cell r="K1">
            <v>2020</v>
          </cell>
          <cell r="L1">
            <v>2021</v>
          </cell>
          <cell r="M1">
            <v>2022</v>
          </cell>
          <cell r="N1">
            <v>2023</v>
          </cell>
          <cell r="O1">
            <v>2024</v>
          </cell>
          <cell r="P1">
            <v>2025</v>
          </cell>
          <cell r="Q1">
            <v>2026</v>
          </cell>
          <cell r="R1">
            <v>2027</v>
          </cell>
          <cell r="S1">
            <v>2028</v>
          </cell>
          <cell r="T1">
            <v>2029</v>
          </cell>
          <cell r="U1">
            <v>2030</v>
          </cell>
        </row>
        <row r="3">
          <cell r="J3">
            <v>1.2956237938799999</v>
          </cell>
        </row>
        <row r="8">
          <cell r="B8" t="str">
            <v>ПС 35/6 кВ 2х4000 кВА "ДНС-1"</v>
          </cell>
          <cell r="F8">
            <v>1426.2259799999999</v>
          </cell>
          <cell r="G8">
            <v>0</v>
          </cell>
          <cell r="H8">
            <v>0</v>
          </cell>
          <cell r="I8">
            <v>56259.157114993279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V8">
            <v>57685.383094993282</v>
          </cell>
          <cell r="W8">
            <v>1</v>
          </cell>
        </row>
        <row r="9">
          <cell r="B9" t="str">
            <v>ПС 35/6 кВ 1х4000 кВА "Парфеновская"</v>
          </cell>
          <cell r="F9">
            <v>0</v>
          </cell>
          <cell r="G9">
            <v>199721.13250308999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V9">
            <v>199721.13250308999</v>
          </cell>
          <cell r="W9">
            <v>1</v>
          </cell>
        </row>
        <row r="10">
          <cell r="B10" t="str">
            <v>ПС 35/6 кВ 1х4000 кВА "Парфеновская" КРУН 6 кВ)</v>
          </cell>
          <cell r="F10">
            <v>900.90719999999999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39816.392792683218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V10">
            <v>40717.29999268322</v>
          </cell>
          <cell r="W10">
            <v>1</v>
          </cell>
        </row>
        <row r="11">
          <cell r="B11" t="str">
            <v>ПС 35/6 "Чаганская"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4673.676529476129</v>
          </cell>
          <cell r="K11">
            <v>120685.96370656832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V11">
            <v>125359.64023604445</v>
          </cell>
          <cell r="W11">
            <v>1</v>
          </cell>
        </row>
        <row r="16">
          <cell r="B16" t="str">
            <v>ПС 35/6 кВ 1х4000 кВА "Грековская" - II</v>
          </cell>
          <cell r="F16">
            <v>0</v>
          </cell>
          <cell r="G16">
            <v>15741.440147219999</v>
          </cell>
          <cell r="H16">
            <v>0</v>
          </cell>
          <cell r="I16">
            <v>0</v>
          </cell>
          <cell r="J16">
            <v>603328.29742408777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V16">
            <v>619069.73757130781</v>
          </cell>
          <cell r="W16">
            <v>1</v>
          </cell>
        </row>
        <row r="17">
          <cell r="B17" t="str">
            <v>ПС 35/6 кВ 1х4000 кВА "Грековская" (КРУН) - II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45392.542393248084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V17">
            <v>45392.542393248084</v>
          </cell>
          <cell r="W17">
            <v>1</v>
          </cell>
        </row>
        <row r="18">
          <cell r="B18" t="str">
            <v>ПС 35/6 кВ 1х4000 кВА "Грековская" (ВЛ и смежные ПС) - II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42819.046069350603</v>
          </cell>
          <cell r="K18">
            <v>804234.00484948861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V18">
            <v>847053.05091883917</v>
          </cell>
          <cell r="W18">
            <v>1</v>
          </cell>
        </row>
        <row r="19">
          <cell r="B19" t="str">
            <v>ПС 35/6 кВ 1х2500 кВА "Кулагинская"</v>
          </cell>
          <cell r="F19">
            <v>522.90318000000002</v>
          </cell>
          <cell r="G19">
            <v>0</v>
          </cell>
          <cell r="H19">
            <v>0</v>
          </cell>
          <cell r="I19">
            <v>20626.529436484965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V19">
            <v>21149.432616484966</v>
          </cell>
          <cell r="W19">
            <v>1</v>
          </cell>
        </row>
        <row r="20">
          <cell r="B20" t="str">
            <v>ПС 35/6 кВ 2х4000 кВА "Ветлянская"</v>
          </cell>
          <cell r="F20">
            <v>442.76484000000005</v>
          </cell>
          <cell r="G20">
            <v>0</v>
          </cell>
          <cell r="H20">
            <v>0</v>
          </cell>
          <cell r="I20">
            <v>17465.37859207618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V20">
            <v>17908.14343207618</v>
          </cell>
          <cell r="W20">
            <v>1</v>
          </cell>
        </row>
        <row r="21">
          <cell r="B21" t="str">
            <v>ПС 110/35/6 кВ 2х25000 кВА "Бариновская"</v>
          </cell>
          <cell r="F21">
            <v>0</v>
          </cell>
          <cell r="G21">
            <v>0</v>
          </cell>
          <cell r="H21">
            <v>0</v>
          </cell>
          <cell r="I21">
            <v>23050.733956478653</v>
          </cell>
          <cell r="J21">
            <v>0</v>
          </cell>
          <cell r="K21">
            <v>404611.60770412575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V21">
            <v>427662.3416606044</v>
          </cell>
          <cell r="W21">
            <v>1</v>
          </cell>
        </row>
        <row r="22">
          <cell r="B22" t="str">
            <v>ПС 35/6 кВ 1х4000 кВА "Утевская"</v>
          </cell>
          <cell r="F22">
            <v>0</v>
          </cell>
          <cell r="G22">
            <v>0</v>
          </cell>
          <cell r="H22">
            <v>0</v>
          </cell>
          <cell r="I22">
            <v>2204.2960730862083</v>
          </cell>
          <cell r="J22">
            <v>0</v>
          </cell>
          <cell r="K22">
            <v>79854.130078304108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V22">
            <v>82058.426151390318</v>
          </cell>
          <cell r="W22">
            <v>1</v>
          </cell>
        </row>
        <row r="23">
          <cell r="B23" t="str">
            <v>ПС 35/6 кВ 2х4000 кВА "Промысловая"</v>
          </cell>
          <cell r="F23">
            <v>0</v>
          </cell>
          <cell r="G23">
            <v>0</v>
          </cell>
          <cell r="H23">
            <v>0</v>
          </cell>
          <cell r="I23">
            <v>4514.854451805968</v>
          </cell>
          <cell r="J23">
            <v>0</v>
          </cell>
          <cell r="K23">
            <v>133757.06407775349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V23">
            <v>138271.91852955945</v>
          </cell>
          <cell r="W23">
            <v>1</v>
          </cell>
        </row>
        <row r="24">
          <cell r="B24" t="str">
            <v>ПС 35/6 кВ 1х4000 кВА "Гагаринская"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2240.7355641705844</v>
          </cell>
          <cell r="K24">
            <v>64514.937830133793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V24">
            <v>66755.67339430438</v>
          </cell>
          <cell r="W24">
            <v>1</v>
          </cell>
        </row>
        <row r="26">
          <cell r="B26" t="str">
            <v>ПС 35/6 кВ 2х2500 кВА "Никольская"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1365.4275987733554</v>
          </cell>
          <cell r="K26">
            <v>46577.01110682376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V26">
            <v>47942.438705597116</v>
          </cell>
          <cell r="W26">
            <v>1</v>
          </cell>
        </row>
        <row r="27">
          <cell r="B27" t="str">
            <v>ПС 35/6 кВ 2х4000 кВА "Благодаровская"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574.88258103124042</v>
          </cell>
          <cell r="K27">
            <v>19610.202976610664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V27">
            <v>20185.085557641905</v>
          </cell>
          <cell r="W27">
            <v>1</v>
          </cell>
        </row>
        <row r="28">
          <cell r="B28" t="str">
            <v>ПС 35/6 кВ 1х10000+1х4000 кВА "ДНС-2"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811.2558618888803</v>
          </cell>
          <cell r="P28">
            <v>27227.369236714603</v>
          </cell>
          <cell r="V28">
            <v>28038.625098603483</v>
          </cell>
          <cell r="W28">
            <v>1</v>
          </cell>
        </row>
        <row r="30">
          <cell r="B30" t="str">
            <v>ПС 35/6 кВ 2х4000 кВА "Евгеньевская"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1370.2892974975105</v>
          </cell>
          <cell r="K30">
            <v>46742.865421966933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V30">
            <v>48113.154719464444</v>
          </cell>
          <cell r="W30">
            <v>1</v>
          </cell>
        </row>
        <row r="31">
          <cell r="B31" t="str">
            <v xml:space="preserve">ПС 35/6 кВ 1х2,500;1х4000 кВА Широкинская </v>
          </cell>
          <cell r="F31">
            <v>0</v>
          </cell>
          <cell r="G31">
            <v>0</v>
          </cell>
          <cell r="H31">
            <v>1225.34780682</v>
          </cell>
          <cell r="I31">
            <v>41719.428978647942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V31">
            <v>42944.77678546794</v>
          </cell>
          <cell r="W31">
            <v>1</v>
          </cell>
        </row>
        <row r="32">
          <cell r="B32" t="str">
            <v>ПС 35/6 кВ 2х4000 кВА "Благодаровская"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5.3859773298603466</v>
          </cell>
          <cell r="M32">
            <v>177.62953233879426</v>
          </cell>
          <cell r="N32">
            <v>0</v>
          </cell>
          <cell r="O32">
            <v>0</v>
          </cell>
          <cell r="P32">
            <v>0</v>
          </cell>
          <cell r="V32">
            <v>183.0155096686546</v>
          </cell>
          <cell r="W32">
            <v>1</v>
          </cell>
        </row>
        <row r="34">
          <cell r="B34" t="str">
            <v>ПС 220/110/6 кВ "Просвет"</v>
          </cell>
          <cell r="F34">
            <v>0</v>
          </cell>
          <cell r="G34">
            <v>0</v>
          </cell>
          <cell r="H34">
            <v>19665.832641879599</v>
          </cell>
          <cell r="I34">
            <v>669562.6039580747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V34">
            <v>689228.43659995426</v>
          </cell>
          <cell r="W34">
            <v>1</v>
          </cell>
        </row>
        <row r="38">
          <cell r="B38" t="str">
            <v>Строительство нового центра питания ПС 110/35/6 кВ Коммунарская"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58692.194980319568</v>
          </cell>
          <cell r="K38">
            <v>0</v>
          </cell>
          <cell r="L38">
            <v>509294.18541735056</v>
          </cell>
          <cell r="M38">
            <v>519480.06912569754</v>
          </cell>
          <cell r="N38">
            <v>0</v>
          </cell>
          <cell r="O38">
            <v>0</v>
          </cell>
          <cell r="P38">
            <v>0</v>
          </cell>
          <cell r="V38">
            <v>1087466.4495233677</v>
          </cell>
          <cell r="W38">
            <v>1</v>
          </cell>
        </row>
        <row r="41">
          <cell r="B41" t="str">
            <v>ПС 35/6 кВ 1х4000 кВА "Богатырёвская"</v>
          </cell>
          <cell r="F41">
            <v>0</v>
          </cell>
          <cell r="G41">
            <v>0</v>
          </cell>
          <cell r="H41">
            <v>0</v>
          </cell>
          <cell r="I41">
            <v>6089.9044411244276</v>
          </cell>
          <cell r="J41">
            <v>83937.167973388408</v>
          </cell>
          <cell r="K41">
            <v>88553.712211924765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V41">
            <v>178580.78462643758</v>
          </cell>
          <cell r="W41">
            <v>1</v>
          </cell>
        </row>
        <row r="42">
          <cell r="B42" t="str">
            <v>ПС 35/6 кВ 1х4000 кВА "Кулешовская"</v>
          </cell>
          <cell r="F42">
            <v>0</v>
          </cell>
          <cell r="G42">
            <v>3064.64239206</v>
          </cell>
          <cell r="H42">
            <v>0</v>
          </cell>
          <cell r="I42">
            <v>110602.39229381483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V42">
            <v>113667.03468587484</v>
          </cell>
          <cell r="W42">
            <v>1</v>
          </cell>
        </row>
        <row r="43">
          <cell r="B43" t="str">
            <v>ПС 35/6 кВ 1х4000 кВА "Кулешовская" (строительство ВЛ 35 кВ и АВР)</v>
          </cell>
          <cell r="F43">
            <v>0</v>
          </cell>
          <cell r="G43">
            <v>2297.6614866150003</v>
          </cell>
          <cell r="H43">
            <v>0</v>
          </cell>
          <cell r="I43">
            <v>0</v>
          </cell>
          <cell r="J43">
            <v>42867.964943414256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V43">
            <v>45165.626430029253</v>
          </cell>
          <cell r="W43">
            <v>1</v>
          </cell>
        </row>
        <row r="44">
          <cell r="B44" t="str">
            <v>ПС 35/6 кВ 1х4000 кВА "Покровская"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5327.6029933489654</v>
          </cell>
          <cell r="K44">
            <v>151932.7003839594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V44">
            <v>157260.30337730836</v>
          </cell>
          <cell r="W44">
            <v>1</v>
          </cell>
        </row>
        <row r="46">
          <cell r="F46">
            <v>3292.8011999999999</v>
          </cell>
          <cell r="G46">
            <v>220824.87652898498</v>
          </cell>
          <cell r="H46">
            <v>20891.180448699597</v>
          </cell>
          <cell r="I46">
            <v>952095.2792965871</v>
          </cell>
          <cell r="J46">
            <v>901009.70070561126</v>
          </cell>
          <cell r="K46">
            <v>2258305.7553179325</v>
          </cell>
          <cell r="L46">
            <v>509299.57139468042</v>
          </cell>
          <cell r="M46">
            <v>519657.69865803636</v>
          </cell>
          <cell r="N46">
            <v>0</v>
          </cell>
          <cell r="O46">
            <v>811.2558618888803</v>
          </cell>
          <cell r="P46">
            <v>27227.369236714603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</row>
      </sheetData>
      <sheetData sheetId="2" refreshError="1"/>
      <sheetData sheetId="3" refreshError="1"/>
      <sheetData sheetId="4">
        <row r="1">
          <cell r="F1">
            <v>2015</v>
          </cell>
          <cell r="G1">
            <v>2016</v>
          </cell>
          <cell r="H1">
            <v>2017</v>
          </cell>
          <cell r="I1">
            <v>2018</v>
          </cell>
          <cell r="J1">
            <v>2019</v>
          </cell>
          <cell r="K1">
            <v>2020</v>
          </cell>
          <cell r="L1">
            <v>2021</v>
          </cell>
          <cell r="M1">
            <v>2022</v>
          </cell>
          <cell r="N1">
            <v>2023</v>
          </cell>
          <cell r="O1">
            <v>2024</v>
          </cell>
          <cell r="P1">
            <v>2025</v>
          </cell>
          <cell r="Q1">
            <v>2026</v>
          </cell>
          <cell r="R1">
            <v>2027</v>
          </cell>
          <cell r="S1">
            <v>2028</v>
          </cell>
          <cell r="T1">
            <v>2029</v>
          </cell>
          <cell r="U1">
            <v>2030</v>
          </cell>
        </row>
        <row r="46">
          <cell r="F46">
            <v>546.52033860665938</v>
          </cell>
          <cell r="G46">
            <v>578.06608021197144</v>
          </cell>
          <cell r="H46">
            <v>1217.3676054008938</v>
          </cell>
          <cell r="I46">
            <v>1217.3676054008938</v>
          </cell>
          <cell r="J46">
            <v>3921.7226510027176</v>
          </cell>
          <cell r="K46">
            <v>5320.4585193392759</v>
          </cell>
          <cell r="L46">
            <v>29149.403040428824</v>
          </cell>
          <cell r="M46">
            <v>29149.403040428824</v>
          </cell>
          <cell r="N46">
            <v>31725.331067479572</v>
          </cell>
          <cell r="O46">
            <v>31725.331067479572</v>
          </cell>
          <cell r="P46">
            <v>20928.363167071515</v>
          </cell>
          <cell r="Q46">
            <v>20935.35607853263</v>
          </cell>
          <cell r="R46">
            <v>20935.35607853263</v>
          </cell>
          <cell r="S46">
            <v>20935.35607853263</v>
          </cell>
          <cell r="T46">
            <v>20935.35607853263</v>
          </cell>
          <cell r="U46">
            <v>20935.35607853263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F1">
            <v>2015</v>
          </cell>
          <cell r="G1">
            <v>2016</v>
          </cell>
          <cell r="H1">
            <v>2017</v>
          </cell>
          <cell r="I1">
            <v>2018</v>
          </cell>
          <cell r="J1">
            <v>2019</v>
          </cell>
          <cell r="K1">
            <v>2020</v>
          </cell>
          <cell r="L1">
            <v>2021</v>
          </cell>
          <cell r="M1">
            <v>2022</v>
          </cell>
          <cell r="N1">
            <v>2023</v>
          </cell>
          <cell r="O1">
            <v>2024</v>
          </cell>
          <cell r="P1">
            <v>2025</v>
          </cell>
          <cell r="Q1">
            <v>2026</v>
          </cell>
          <cell r="R1">
            <v>2027</v>
          </cell>
          <cell r="S1">
            <v>2028</v>
          </cell>
          <cell r="T1">
            <v>2029</v>
          </cell>
          <cell r="U1">
            <v>2030</v>
          </cell>
        </row>
        <row r="46">
          <cell r="F46">
            <v>60.961896592711767</v>
          </cell>
          <cell r="G46">
            <v>60.961896592711767</v>
          </cell>
          <cell r="H46">
            <v>120.58189659271176</v>
          </cell>
          <cell r="I46">
            <v>120.58189659271176</v>
          </cell>
          <cell r="J46">
            <v>388.45189659271176</v>
          </cell>
          <cell r="K46">
            <v>526.99856325937844</v>
          </cell>
          <cell r="L46">
            <v>2887.2875272566266</v>
          </cell>
          <cell r="M46">
            <v>2887.2875272566266</v>
          </cell>
          <cell r="N46">
            <v>3142.4366585544103</v>
          </cell>
          <cell r="O46">
            <v>3142.4366585544103</v>
          </cell>
          <cell r="P46">
            <v>3142.4366585544103</v>
          </cell>
          <cell r="Q46">
            <v>3143.48665855441</v>
          </cell>
          <cell r="R46">
            <v>3143.48665855441</v>
          </cell>
          <cell r="S46">
            <v>3143.48665855441</v>
          </cell>
          <cell r="T46">
            <v>3143.48665855441</v>
          </cell>
          <cell r="U46">
            <v>3143.48665855441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 цех result"/>
      <sheetName val="3 цех_CapEx"/>
      <sheetName val="Цех 3_OpEx"/>
      <sheetName val="Цех 3_Аморт"/>
      <sheetName val="Цех 3_Потери добычи"/>
      <sheetName val="Цех 3_Энергоснабжение"/>
      <sheetName val="Цех 3_Затраты по Мероприятиям"/>
      <sheetName val="Цех 3_NPC"/>
      <sheetName val="Цех 3_NPV"/>
      <sheetName val="Потери"/>
      <sheetName val="Цех 3_Потери добычи (физ объем)"/>
    </sheetNames>
    <sheetDataSet>
      <sheetData sheetId="0">
        <row r="8">
          <cell r="C8">
            <v>2019</v>
          </cell>
          <cell r="D8">
            <v>2021</v>
          </cell>
        </row>
        <row r="9">
          <cell r="C9">
            <v>2015</v>
          </cell>
          <cell r="D9">
            <v>2016</v>
          </cell>
        </row>
        <row r="10">
          <cell r="C10">
            <v>2019</v>
          </cell>
          <cell r="D10">
            <v>2020</v>
          </cell>
        </row>
        <row r="11">
          <cell r="C11">
            <v>2018</v>
          </cell>
          <cell r="D11">
            <v>2020</v>
          </cell>
        </row>
        <row r="12">
          <cell r="C12">
            <v>2018</v>
          </cell>
          <cell r="D12">
            <v>2020</v>
          </cell>
        </row>
        <row r="13">
          <cell r="C13">
            <v>2018</v>
          </cell>
          <cell r="D13">
            <v>2020</v>
          </cell>
        </row>
        <row r="14">
          <cell r="C14">
            <v>2017</v>
          </cell>
          <cell r="D14">
            <v>2018</v>
          </cell>
        </row>
        <row r="17">
          <cell r="C17">
            <v>2019</v>
          </cell>
          <cell r="D17">
            <v>2021</v>
          </cell>
        </row>
        <row r="18">
          <cell r="C18">
            <v>2019</v>
          </cell>
          <cell r="D18">
            <v>2021</v>
          </cell>
        </row>
        <row r="21">
          <cell r="C21">
            <v>2018</v>
          </cell>
          <cell r="D21">
            <v>2019</v>
          </cell>
        </row>
        <row r="23">
          <cell r="C23">
            <v>2022</v>
          </cell>
          <cell r="D23">
            <v>2023</v>
          </cell>
        </row>
        <row r="25">
          <cell r="C25">
            <v>2020</v>
          </cell>
          <cell r="D25">
            <v>2022</v>
          </cell>
        </row>
        <row r="26">
          <cell r="C26">
            <v>0</v>
          </cell>
          <cell r="D26">
            <v>2020</v>
          </cell>
        </row>
        <row r="27">
          <cell r="C27">
            <v>0</v>
          </cell>
          <cell r="D27">
            <v>2021</v>
          </cell>
        </row>
        <row r="28">
          <cell r="C28">
            <v>2018</v>
          </cell>
          <cell r="D28">
            <v>2020</v>
          </cell>
        </row>
        <row r="29">
          <cell r="C29">
            <v>2019</v>
          </cell>
          <cell r="D29">
            <v>2021</v>
          </cell>
        </row>
        <row r="31">
          <cell r="C31">
            <v>2017</v>
          </cell>
          <cell r="D31">
            <v>2020</v>
          </cell>
        </row>
        <row r="36">
          <cell r="C36">
            <v>2019</v>
          </cell>
          <cell r="D36">
            <v>2020</v>
          </cell>
        </row>
        <row r="40">
          <cell r="C40">
            <v>2020</v>
          </cell>
          <cell r="D40">
            <v>2021</v>
          </cell>
        </row>
        <row r="42">
          <cell r="C42">
            <v>2019</v>
          </cell>
          <cell r="D42">
            <v>2022</v>
          </cell>
        </row>
        <row r="46">
          <cell r="C46">
            <v>2019</v>
          </cell>
          <cell r="D46">
            <v>2021</v>
          </cell>
        </row>
        <row r="48">
          <cell r="C48">
            <v>2020</v>
          </cell>
          <cell r="D48">
            <v>2022</v>
          </cell>
        </row>
      </sheetData>
      <sheetData sheetId="1">
        <row r="1">
          <cell r="F1">
            <v>2015</v>
          </cell>
          <cell r="G1">
            <v>2016</v>
          </cell>
          <cell r="H1">
            <v>2017</v>
          </cell>
          <cell r="I1">
            <v>2018</v>
          </cell>
          <cell r="J1">
            <v>2019</v>
          </cell>
          <cell r="K1">
            <v>2020</v>
          </cell>
          <cell r="L1">
            <v>2021</v>
          </cell>
          <cell r="M1">
            <v>2022</v>
          </cell>
          <cell r="N1">
            <v>2023</v>
          </cell>
          <cell r="O1">
            <v>2024</v>
          </cell>
          <cell r="P1">
            <v>2025</v>
          </cell>
          <cell r="Q1">
            <v>2026</v>
          </cell>
          <cell r="R1">
            <v>2027</v>
          </cell>
          <cell r="S1">
            <v>2028</v>
          </cell>
          <cell r="T1">
            <v>2029</v>
          </cell>
          <cell r="U1">
            <v>2030</v>
          </cell>
        </row>
        <row r="8">
          <cell r="B8" t="str">
            <v>ПС 35/6кВ 2х4000кВА "Якушкинская"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3485.2080011058219</v>
          </cell>
          <cell r="K8">
            <v>0</v>
          </cell>
          <cell r="L8">
            <v>124830.5662776075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V8">
            <v>128315.77427871333</v>
          </cell>
          <cell r="W8">
            <v>1</v>
          </cell>
        </row>
        <row r="9">
          <cell r="B9" t="str">
            <v>ПС 110/35/6кВ 2х16000 кВА "Козловская"</v>
          </cell>
          <cell r="F9">
            <v>4552.4537459999992</v>
          </cell>
          <cell r="G9">
            <v>80442.616434110998</v>
          </cell>
          <cell r="H9">
            <v>85269.173420157662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V9">
            <v>170264.24360026867</v>
          </cell>
          <cell r="W9">
            <v>1</v>
          </cell>
        </row>
        <row r="10">
          <cell r="B10" t="str">
            <v>ПС 110/35/6кВ 2х16000 кВА "Красногородецкая"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11835.586946309604</v>
          </cell>
          <cell r="K10">
            <v>195622.52624425385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V10">
            <v>207458.11319056345</v>
          </cell>
          <cell r="W10">
            <v>1</v>
          </cell>
        </row>
        <row r="11">
          <cell r="B11" t="str">
            <v>ПС 35/6кВ 1х4000кВА "Орлянская"</v>
          </cell>
          <cell r="F11">
            <v>0</v>
          </cell>
          <cell r="G11">
            <v>0</v>
          </cell>
          <cell r="H11">
            <v>0</v>
          </cell>
          <cell r="I11">
            <v>976.92749744583239</v>
          </cell>
          <cell r="J11">
            <v>0</v>
          </cell>
          <cell r="K11">
            <v>35390.751909696213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V11">
            <v>36367.679407142045</v>
          </cell>
          <cell r="W11">
            <v>1</v>
          </cell>
        </row>
        <row r="12">
          <cell r="B12" t="str">
            <v>ПС 35/6кВ 2х2500кВА "Обошинская"</v>
          </cell>
          <cell r="F12">
            <v>0</v>
          </cell>
          <cell r="G12">
            <v>0</v>
          </cell>
          <cell r="H12">
            <v>0</v>
          </cell>
          <cell r="I12">
            <v>586.9339020234612</v>
          </cell>
          <cell r="J12">
            <v>0</v>
          </cell>
          <cell r="K12">
            <v>21262.613825704098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V12">
            <v>21849.54772772756</v>
          </cell>
          <cell r="W12">
            <v>1</v>
          </cell>
        </row>
        <row r="13">
          <cell r="B13" t="str">
            <v>ПС 35/6кВ 1х1800кВА "Сургутская"</v>
          </cell>
          <cell r="F13">
            <v>0</v>
          </cell>
          <cell r="G13">
            <v>0</v>
          </cell>
          <cell r="H13">
            <v>0</v>
          </cell>
          <cell r="I13">
            <v>1569.3613590738564</v>
          </cell>
          <cell r="J13">
            <v>0</v>
          </cell>
          <cell r="K13">
            <v>56852.610517011366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V13">
            <v>58421.971876085219</v>
          </cell>
          <cell r="W13">
            <v>1</v>
          </cell>
        </row>
        <row r="14">
          <cell r="B14" t="str">
            <v>ПС 110/6кВ 2х6300 кВА "Горбуновская"</v>
          </cell>
          <cell r="F14">
            <v>0</v>
          </cell>
          <cell r="G14">
            <v>0</v>
          </cell>
          <cell r="H14">
            <v>9826.7649215304009</v>
          </cell>
          <cell r="I14">
            <v>162112.14091048698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V14">
            <v>171938.90583201739</v>
          </cell>
          <cell r="W14">
            <v>1</v>
          </cell>
        </row>
        <row r="17">
          <cell r="B17" t="str">
            <v>ПС 110/35/6 кВ 2х25000 кВА "Козловская"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52576.115238271857</v>
          </cell>
          <cell r="K17">
            <v>0</v>
          </cell>
          <cell r="L17">
            <v>912445.3433467393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V17">
            <v>965021.45858501119</v>
          </cell>
          <cell r="W17">
            <v>1</v>
          </cell>
        </row>
        <row r="18">
          <cell r="B18" t="str">
            <v>ПС 35/6 1х4000 кВА  Казанская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6479.5953327131265</v>
          </cell>
          <cell r="K18">
            <v>0</v>
          </cell>
          <cell r="L18">
            <v>188274.23185609997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V18">
            <v>194753.8271888131</v>
          </cell>
          <cell r="W18">
            <v>1</v>
          </cell>
        </row>
        <row r="21">
          <cell r="B21" t="str">
            <v>ПС 110/35/6 кВ 2х16000 кВА "Радаевская"</v>
          </cell>
          <cell r="F21">
            <v>0</v>
          </cell>
          <cell r="G21">
            <v>0</v>
          </cell>
          <cell r="H21">
            <v>0</v>
          </cell>
          <cell r="I21">
            <v>35912.830296635017</v>
          </cell>
          <cell r="J21">
            <v>597517.67047541344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V21">
            <v>633430.50077204849</v>
          </cell>
          <cell r="W21">
            <v>1</v>
          </cell>
        </row>
        <row r="23">
          <cell r="B23" t="str">
            <v>ПС 35/6кВ 1х4000кВА "БКНС"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1751.7934675254414</v>
          </cell>
          <cell r="N23">
            <v>57774.148558989065</v>
          </cell>
          <cell r="O23">
            <v>0</v>
          </cell>
          <cell r="P23">
            <v>0</v>
          </cell>
          <cell r="V23">
            <v>59525.942026514509</v>
          </cell>
          <cell r="W23">
            <v>1</v>
          </cell>
        </row>
        <row r="25">
          <cell r="B25" t="str">
            <v>ПС 35/6 кВ 2х4000 кВА "КНС"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1406.8200916049477</v>
          </cell>
          <cell r="L25">
            <v>0</v>
          </cell>
          <cell r="M25">
            <v>48078.441592816176</v>
          </cell>
          <cell r="N25">
            <v>0</v>
          </cell>
          <cell r="O25">
            <v>0</v>
          </cell>
          <cell r="P25">
            <v>0</v>
          </cell>
          <cell r="V25">
            <v>49485.261684421122</v>
          </cell>
          <cell r="W25">
            <v>1</v>
          </cell>
        </row>
        <row r="26">
          <cell r="B26" t="str">
            <v>ПС 35/6 кВ       4000 кВА "Орлянская"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85053.65066544521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V26">
            <v>85053.65066544521</v>
          </cell>
          <cell r="W26">
            <v>1</v>
          </cell>
        </row>
        <row r="27">
          <cell r="B27" t="str">
            <v>ПС 35/6 кВ 2х4000 кВА "Якушкинская"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53862.974085024434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V27">
            <v>53862.974085024434</v>
          </cell>
          <cell r="W27">
            <v>1</v>
          </cell>
        </row>
        <row r="28">
          <cell r="B28" t="str">
            <v>ПС 35/6 кВ 2х2500 кВА "Обошинская"</v>
          </cell>
          <cell r="F28">
            <v>0</v>
          </cell>
          <cell r="G28">
            <v>0</v>
          </cell>
          <cell r="H28">
            <v>0</v>
          </cell>
          <cell r="I28">
            <v>541.32069776952949</v>
          </cell>
          <cell r="J28">
            <v>0</v>
          </cell>
          <cell r="K28">
            <v>19610.202976610664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V28">
            <v>20151.523674380194</v>
          </cell>
          <cell r="W28">
            <v>1</v>
          </cell>
        </row>
        <row r="29">
          <cell r="B29" t="str">
            <v>ПС 35/6 кВ 2х4000 кВА "ФНС"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295.2218741725319</v>
          </cell>
          <cell r="K29">
            <v>0</v>
          </cell>
          <cell r="L29">
            <v>10574.035672706117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V29">
            <v>10869.257546878649</v>
          </cell>
          <cell r="W29">
            <v>1</v>
          </cell>
        </row>
        <row r="31">
          <cell r="B31" t="str">
            <v>ПС 35/6 кВ  "Южно-Орловская"</v>
          </cell>
          <cell r="F31">
            <v>0</v>
          </cell>
          <cell r="G31">
            <v>0</v>
          </cell>
          <cell r="H31">
            <v>23409.356894049</v>
          </cell>
          <cell r="I31">
            <v>0</v>
          </cell>
          <cell r="J31">
            <v>0</v>
          </cell>
          <cell r="K31">
            <v>508558.10656399955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V31">
            <v>531967.46345804853</v>
          </cell>
          <cell r="W31">
            <v>1</v>
          </cell>
        </row>
        <row r="36">
          <cell r="B36" t="str">
            <v>ПС 35/6 кВ 2х2500 кВА "Киргизкая"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7243.6780636644698</v>
          </cell>
          <cell r="K36">
            <v>187492.49743337568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V36">
            <v>194736.17549704015</v>
          </cell>
          <cell r="W36">
            <v>1</v>
          </cell>
        </row>
        <row r="40">
          <cell r="B40" t="str">
            <v>ПС 35/6 кВ 1х2500 кВА "Ивановская"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10191.551176101808</v>
          </cell>
          <cell r="L40">
            <v>110420.0753935864</v>
          </cell>
          <cell r="M40">
            <v>112628.47690145814</v>
          </cell>
          <cell r="N40">
            <v>0</v>
          </cell>
          <cell r="O40">
            <v>0</v>
          </cell>
          <cell r="P40">
            <v>0</v>
          </cell>
          <cell r="V40">
            <v>233240.10347114637</v>
          </cell>
          <cell r="W40">
            <v>1</v>
          </cell>
        </row>
        <row r="42">
          <cell r="B42" t="str">
            <v>ПС 35/6кВ 1х4000кВА "Малиновская"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3177.2699162585445</v>
          </cell>
          <cell r="K42">
            <v>0</v>
          </cell>
          <cell r="L42">
            <v>0</v>
          </cell>
          <cell r="M42">
            <v>116077.0923262736</v>
          </cell>
          <cell r="N42">
            <v>0</v>
          </cell>
          <cell r="O42">
            <v>0</v>
          </cell>
          <cell r="P42">
            <v>0</v>
          </cell>
          <cell r="V42">
            <v>119254.36224253215</v>
          </cell>
          <cell r="W42">
            <v>1</v>
          </cell>
        </row>
        <row r="46">
          <cell r="B46" t="str">
            <v>ПС 35/6 кВ  "Боровская"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8172.6450269908009</v>
          </cell>
          <cell r="K46">
            <v>0</v>
          </cell>
          <cell r="L46">
            <v>155042.35728735439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V46">
            <v>163215.00231434518</v>
          </cell>
          <cell r="W46">
            <v>1</v>
          </cell>
        </row>
        <row r="48">
          <cell r="B48" t="str">
            <v>ПС 35/6 кВ 2х2500кВА Смагинская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10384.498822941267</v>
          </cell>
          <cell r="L48">
            <v>0</v>
          </cell>
          <cell r="M48">
            <v>214585.85151918192</v>
          </cell>
          <cell r="N48">
            <v>0</v>
          </cell>
          <cell r="O48">
            <v>0</v>
          </cell>
          <cell r="P48">
            <v>0</v>
          </cell>
          <cell r="V48">
            <v>224970.35034212319</v>
          </cell>
          <cell r="W48">
            <v>1</v>
          </cell>
        </row>
        <row r="51">
          <cell r="F51">
            <v>4552.4537459999992</v>
          </cell>
          <cell r="G51">
            <v>80442.616434110998</v>
          </cell>
          <cell r="H51">
            <v>118505.29523573705</v>
          </cell>
          <cell r="I51">
            <v>201699.51466343467</v>
          </cell>
          <cell r="J51">
            <v>690782.99087490025</v>
          </cell>
          <cell r="K51">
            <v>1131825.8302267448</v>
          </cell>
          <cell r="L51">
            <v>1555449.5839191179</v>
          </cell>
          <cell r="M51">
            <v>493121.6558072553</v>
          </cell>
          <cell r="N51">
            <v>57774.148558989065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</sheetData>
      <sheetData sheetId="2" refreshError="1"/>
      <sheetData sheetId="3" refreshError="1"/>
      <sheetData sheetId="4">
        <row r="1">
          <cell r="F1">
            <v>2015</v>
          </cell>
          <cell r="G1">
            <v>2016</v>
          </cell>
          <cell r="H1">
            <v>2017</v>
          </cell>
          <cell r="I1">
            <v>2018</v>
          </cell>
          <cell r="J1">
            <v>2019</v>
          </cell>
          <cell r="K1">
            <v>2020</v>
          </cell>
          <cell r="L1">
            <v>2021</v>
          </cell>
          <cell r="M1">
            <v>2022</v>
          </cell>
          <cell r="N1">
            <v>2023</v>
          </cell>
          <cell r="O1">
            <v>2024</v>
          </cell>
          <cell r="P1">
            <v>2025</v>
          </cell>
          <cell r="Q1">
            <v>2026</v>
          </cell>
          <cell r="R1">
            <v>2027</v>
          </cell>
          <cell r="S1">
            <v>2028</v>
          </cell>
          <cell r="T1">
            <v>2029</v>
          </cell>
          <cell r="U1">
            <v>2030</v>
          </cell>
        </row>
        <row r="51">
          <cell r="F51">
            <v>4735.9795711344395</v>
          </cell>
          <cell r="G51">
            <v>5009.3454044718328</v>
          </cell>
          <cell r="H51">
            <v>5333.3685046869887</v>
          </cell>
          <cell r="I51">
            <v>5642.3861166846318</v>
          </cell>
          <cell r="J51">
            <v>5698.1388783744014</v>
          </cell>
          <cell r="K51">
            <v>6121.8892176438021</v>
          </cell>
          <cell r="L51">
            <v>7455.1156038984145</v>
          </cell>
          <cell r="M51">
            <v>12930.697735722422</v>
          </cell>
          <cell r="N51">
            <v>14213.344529362425</v>
          </cell>
          <cell r="O51">
            <v>14346.883718956069</v>
          </cell>
          <cell r="P51">
            <v>9464.2603460122755</v>
          </cell>
          <cell r="Q51">
            <v>9464.2603460122755</v>
          </cell>
          <cell r="R51">
            <v>9464.2603460122755</v>
          </cell>
          <cell r="S51">
            <v>9464.2603460122755</v>
          </cell>
          <cell r="T51">
            <v>9464.2603460122755</v>
          </cell>
          <cell r="U51">
            <v>9464.2603460122755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F1">
            <v>2015</v>
          </cell>
          <cell r="G1">
            <v>2016</v>
          </cell>
          <cell r="H1">
            <v>2017</v>
          </cell>
          <cell r="I1">
            <v>2018</v>
          </cell>
          <cell r="J1">
            <v>2019</v>
          </cell>
          <cell r="K1">
            <v>2020</v>
          </cell>
          <cell r="L1">
            <v>2021</v>
          </cell>
          <cell r="M1">
            <v>2022</v>
          </cell>
          <cell r="N1">
            <v>2023</v>
          </cell>
          <cell r="O1">
            <v>2024</v>
          </cell>
          <cell r="P1">
            <v>2025</v>
          </cell>
          <cell r="Q1">
            <v>2026</v>
          </cell>
          <cell r="R1">
            <v>2027</v>
          </cell>
          <cell r="S1">
            <v>2028</v>
          </cell>
          <cell r="T1">
            <v>2029</v>
          </cell>
          <cell r="U1">
            <v>2030</v>
          </cell>
        </row>
        <row r="51">
          <cell r="F51">
            <v>528.27731464992394</v>
          </cell>
          <cell r="G51">
            <v>528.27731464992394</v>
          </cell>
          <cell r="H51">
            <v>528.27731464992394</v>
          </cell>
          <cell r="I51">
            <v>558.88592421856424</v>
          </cell>
          <cell r="J51">
            <v>564.40831015606409</v>
          </cell>
          <cell r="K51">
            <v>606.38135048029926</v>
          </cell>
          <cell r="L51">
            <v>738.43921494851566</v>
          </cell>
          <cell r="M51">
            <v>1280.8029804005073</v>
          </cell>
          <cell r="N51">
            <v>1407.8508682771844</v>
          </cell>
          <cell r="O51">
            <v>1421.0781043882955</v>
          </cell>
          <cell r="P51">
            <v>1421.0781043882955</v>
          </cell>
          <cell r="Q51">
            <v>1421.0781043882955</v>
          </cell>
          <cell r="R51">
            <v>1421.0781043882955</v>
          </cell>
          <cell r="S51">
            <v>1421.0781043882955</v>
          </cell>
          <cell r="T51">
            <v>1421.0781043882955</v>
          </cell>
          <cell r="U51">
            <v>1421.0781043882955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 цех result"/>
      <sheetName val="4 цех_CapEx"/>
      <sheetName val="Цех 4_OpEx"/>
      <sheetName val="Цех 4_Аморт"/>
      <sheetName val="Цех 4_Потери добычи"/>
      <sheetName val="Цех 4_Энергоснабжение"/>
      <sheetName val="Цех 4_Затраты по Мероприятиям"/>
      <sheetName val="Цех 4_NPV"/>
      <sheetName val="Потери"/>
      <sheetName val="Цех 4_Потери добычи (физ объем)"/>
    </sheetNames>
    <sheetDataSet>
      <sheetData sheetId="0">
        <row r="8">
          <cell r="C8">
            <v>2019</v>
          </cell>
        </row>
        <row r="9">
          <cell r="C9">
            <v>2015</v>
          </cell>
          <cell r="D9">
            <v>2018</v>
          </cell>
        </row>
        <row r="10">
          <cell r="C10">
            <v>2017</v>
          </cell>
          <cell r="D10">
            <v>2019</v>
          </cell>
        </row>
        <row r="11">
          <cell r="C11">
            <v>2019</v>
          </cell>
          <cell r="D11">
            <v>2021</v>
          </cell>
        </row>
        <row r="12">
          <cell r="C12">
            <v>2020</v>
          </cell>
          <cell r="D12">
            <v>2022</v>
          </cell>
        </row>
        <row r="13">
          <cell r="C13">
            <v>2019</v>
          </cell>
          <cell r="D13">
            <v>2020</v>
          </cell>
        </row>
        <row r="14">
          <cell r="C14">
            <v>2019</v>
          </cell>
          <cell r="D14">
            <v>2021</v>
          </cell>
        </row>
        <row r="16">
          <cell r="C16">
            <v>2019</v>
          </cell>
          <cell r="D16">
            <v>2021</v>
          </cell>
        </row>
        <row r="17">
          <cell r="C17">
            <v>2019</v>
          </cell>
          <cell r="D17">
            <v>2020</v>
          </cell>
        </row>
        <row r="23">
          <cell r="C23">
            <v>2019</v>
          </cell>
          <cell r="D23">
            <v>2020</v>
          </cell>
        </row>
        <row r="25">
          <cell r="C25">
            <v>2018</v>
          </cell>
          <cell r="D25">
            <v>2019</v>
          </cell>
        </row>
        <row r="26">
          <cell r="C26">
            <v>2024</v>
          </cell>
          <cell r="D26">
            <v>2025</v>
          </cell>
        </row>
        <row r="27">
          <cell r="C27">
            <v>2021</v>
          </cell>
          <cell r="D27">
            <v>2023</v>
          </cell>
        </row>
        <row r="29">
          <cell r="C29">
            <v>2019</v>
          </cell>
          <cell r="D29">
            <v>2021</v>
          </cell>
        </row>
        <row r="30">
          <cell r="C30">
            <v>2020</v>
          </cell>
          <cell r="D30">
            <v>2022</v>
          </cell>
        </row>
        <row r="31">
          <cell r="C31">
            <v>2019</v>
          </cell>
          <cell r="D31">
            <v>2021</v>
          </cell>
        </row>
        <row r="32">
          <cell r="C32">
            <v>2020</v>
          </cell>
          <cell r="D32">
            <v>2022</v>
          </cell>
        </row>
        <row r="34">
          <cell r="C34">
            <v>2016</v>
          </cell>
          <cell r="D34">
            <v>2020</v>
          </cell>
        </row>
      </sheetData>
      <sheetData sheetId="1">
        <row r="1">
          <cell r="F1">
            <v>2015</v>
          </cell>
          <cell r="G1">
            <v>2016</v>
          </cell>
          <cell r="H1">
            <v>2017</v>
          </cell>
          <cell r="I1">
            <v>2018</v>
          </cell>
          <cell r="J1">
            <v>2019</v>
          </cell>
          <cell r="K1">
            <v>2020</v>
          </cell>
          <cell r="L1">
            <v>2021</v>
          </cell>
          <cell r="M1">
            <v>2022</v>
          </cell>
          <cell r="N1">
            <v>2023</v>
          </cell>
          <cell r="O1">
            <v>2024</v>
          </cell>
          <cell r="P1">
            <v>2025</v>
          </cell>
          <cell r="Q1">
            <v>2026</v>
          </cell>
          <cell r="R1">
            <v>2027</v>
          </cell>
          <cell r="S1">
            <v>2028</v>
          </cell>
          <cell r="T1">
            <v>2029</v>
          </cell>
          <cell r="U1">
            <v>2030</v>
          </cell>
        </row>
        <row r="9">
          <cell r="B9" t="str">
            <v>ПС 35/6кВ 1х4000 кВА "Кривая Лука" (трансформаторы)</v>
          </cell>
          <cell r="F9">
            <v>522.90318000000002</v>
          </cell>
          <cell r="G9">
            <v>0</v>
          </cell>
          <cell r="H9">
            <v>0</v>
          </cell>
          <cell r="I9">
            <v>20626.529436484965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V9">
            <v>21149.432616484966</v>
          </cell>
          <cell r="W9">
            <v>1</v>
          </cell>
        </row>
        <row r="10">
          <cell r="B10" t="str">
            <v>ПС 35/6кВ 1х4000 кВА "Кривая Лука"</v>
          </cell>
          <cell r="F10">
            <v>0</v>
          </cell>
          <cell r="G10">
            <v>0</v>
          </cell>
          <cell r="H10">
            <v>322.47915719999997</v>
          </cell>
          <cell r="I10">
            <v>0</v>
          </cell>
          <cell r="J10">
            <v>11660.181406572843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V10">
            <v>11982.660563772843</v>
          </cell>
          <cell r="W10">
            <v>1</v>
          </cell>
        </row>
        <row r="11">
          <cell r="B11" t="str">
            <v>ПС 35/6кВ 2*4000кВа "Чубовка"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3163.0525181187818</v>
          </cell>
          <cell r="K11">
            <v>0</v>
          </cell>
          <cell r="L11">
            <v>113291.84280458992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V11">
            <v>116454.8953227087</v>
          </cell>
          <cell r="W11">
            <v>1</v>
          </cell>
        </row>
        <row r="12">
          <cell r="B12" t="str">
            <v>ПС 35/6кВ 2*4000кВа "Чубовка" (БСК)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155.72953862601057</v>
          </cell>
          <cell r="L12">
            <v>0</v>
          </cell>
          <cell r="M12">
            <v>5392.7581930801198</v>
          </cell>
          <cell r="N12">
            <v>0</v>
          </cell>
          <cell r="O12">
            <v>0</v>
          </cell>
          <cell r="P12">
            <v>0</v>
          </cell>
          <cell r="V12">
            <v>5548.48773170613</v>
          </cell>
          <cell r="W12">
            <v>1</v>
          </cell>
        </row>
        <row r="13">
          <cell r="B13" t="str">
            <v>ПС 35/6кВ 1*3150кВа "Стрельная"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1262.6690585206686</v>
          </cell>
          <cell r="K13">
            <v>43071.746034570882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V13">
            <v>44334.415093091549</v>
          </cell>
          <cell r="W13">
            <v>1</v>
          </cell>
        </row>
        <row r="14">
          <cell r="B14" t="str">
            <v>ПС 35/6кВ 1*2500кВА "Сытовка"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750.74633107894351</v>
          </cell>
          <cell r="K14">
            <v>0</v>
          </cell>
          <cell r="L14">
            <v>26889.669026837284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V14">
            <v>27640.415357916227</v>
          </cell>
          <cell r="W14">
            <v>1</v>
          </cell>
        </row>
        <row r="16">
          <cell r="B16" t="str">
            <v>ПС 35/6кВ 2х4000 кВА "Запрудная" -I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6892.9326982297762</v>
          </cell>
          <cell r="K16">
            <v>0</v>
          </cell>
          <cell r="L16">
            <v>127981.03262626109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V16">
            <v>134873.96532449085</v>
          </cell>
          <cell r="W16">
            <v>1</v>
          </cell>
        </row>
        <row r="17">
          <cell r="B17" t="str">
            <v>ПС 35/6кВ 2х4000 кВА "Запрудная" -I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1775.0205078757888</v>
          </cell>
          <cell r="K17">
            <v>60548.907891156276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V17">
            <v>62323.928399032062</v>
          </cell>
          <cell r="W17">
            <v>1</v>
          </cell>
        </row>
        <row r="23">
          <cell r="B23" t="str">
            <v>ПС 35/6кВ 1*3150кВа "Стрельная"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4421.1993572617675</v>
          </cell>
          <cell r="K23">
            <v>112073.5465670494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V23">
            <v>116494.74592431117</v>
          </cell>
          <cell r="W23">
            <v>1</v>
          </cell>
        </row>
        <row r="25">
          <cell r="B25" t="str">
            <v>ПС 110/35/6 кВ "Красноярская"</v>
          </cell>
          <cell r="F25">
            <v>0</v>
          </cell>
          <cell r="G25">
            <v>0</v>
          </cell>
          <cell r="H25">
            <v>0</v>
          </cell>
          <cell r="I25">
            <v>6290.6553090616708</v>
          </cell>
          <cell r="J25">
            <v>216008.52200255968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V25">
            <v>222299.17731162134</v>
          </cell>
          <cell r="W25">
            <v>1</v>
          </cell>
        </row>
        <row r="26">
          <cell r="B26" t="str">
            <v>ПС 35/6кВ 2*4000кВа "Ветлянка"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116.47571274059727</v>
          </cell>
          <cell r="P26">
            <v>3909.1578709999253</v>
          </cell>
          <cell r="V26">
            <v>4025.6335837405227</v>
          </cell>
          <cell r="W26">
            <v>1</v>
          </cell>
        </row>
        <row r="27">
          <cell r="B27" t="str">
            <v>ПС 35/6кВ 2х6300кВА "Киндяково"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1667.2735663953058</v>
          </cell>
          <cell r="M27">
            <v>0</v>
          </cell>
          <cell r="N27">
            <v>56086.415864111528</v>
          </cell>
          <cell r="O27">
            <v>0</v>
          </cell>
          <cell r="P27">
            <v>0</v>
          </cell>
          <cell r="V27">
            <v>57753.689430506834</v>
          </cell>
          <cell r="W27">
            <v>1</v>
          </cell>
        </row>
        <row r="29">
          <cell r="B29" t="str">
            <v>ПС 35/6 кВ 2х6300 кВА Каменка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295.2218741725319</v>
          </cell>
          <cell r="K29">
            <v>0</v>
          </cell>
          <cell r="L29">
            <v>10574.035672706117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V29">
            <v>10869.257546878649</v>
          </cell>
          <cell r="W29">
            <v>1</v>
          </cell>
        </row>
        <row r="30">
          <cell r="B30" t="str">
            <v>ПС 35/6 кВ 2х4000 кВА Волгановка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311.45907725202113</v>
          </cell>
          <cell r="L30">
            <v>0</v>
          </cell>
          <cell r="M30">
            <v>10785.51638616024</v>
          </cell>
          <cell r="N30">
            <v>0</v>
          </cell>
          <cell r="O30">
            <v>0</v>
          </cell>
          <cell r="P30">
            <v>0</v>
          </cell>
          <cell r="V30">
            <v>11096.97546341226</v>
          </cell>
          <cell r="W30">
            <v>1</v>
          </cell>
        </row>
        <row r="31">
          <cell r="B31" t="str">
            <v>ПП-35 кВ "Каменка"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91.331760290085896</v>
          </cell>
          <cell r="K31">
            <v>0</v>
          </cell>
          <cell r="L31">
            <v>3271.2524912500785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V31">
            <v>3362.5842515401646</v>
          </cell>
          <cell r="W31">
            <v>1</v>
          </cell>
        </row>
        <row r="32">
          <cell r="B32" t="str">
            <v>ПП-35 кВ "Елховка"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96.355007106040617</v>
          </cell>
          <cell r="L32">
            <v>0</v>
          </cell>
          <cell r="M32">
            <v>3336.6775410750802</v>
          </cell>
          <cell r="N32">
            <v>0</v>
          </cell>
          <cell r="O32">
            <v>0</v>
          </cell>
          <cell r="P32">
            <v>0</v>
          </cell>
          <cell r="V32">
            <v>3433.032548181121</v>
          </cell>
          <cell r="W32">
            <v>1</v>
          </cell>
        </row>
        <row r="34">
          <cell r="B34" t="str">
            <v>ПС 35/6 кВ 2х4000 кВА Ключи</v>
          </cell>
          <cell r="F34">
            <v>0</v>
          </cell>
          <cell r="G34">
            <v>1148.21851302</v>
          </cell>
          <cell r="H34">
            <v>0</v>
          </cell>
          <cell r="I34">
            <v>0</v>
          </cell>
          <cell r="J34">
            <v>0</v>
          </cell>
          <cell r="K34">
            <v>46428.669380003361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V34">
            <v>47576.887893023362</v>
          </cell>
          <cell r="W34">
            <v>1</v>
          </cell>
        </row>
        <row r="36">
          <cell r="F36">
            <v>522.90318000000002</v>
          </cell>
          <cell r="G36">
            <v>1148.21851302</v>
          </cell>
          <cell r="H36">
            <v>322.47915719999997</v>
          </cell>
          <cell r="I36">
            <v>26917.184745546634</v>
          </cell>
          <cell r="J36">
            <v>250477.12447507918</v>
          </cell>
          <cell r="K36">
            <v>362741.92051272362</v>
          </cell>
          <cell r="L36">
            <v>283675.10618803976</v>
          </cell>
          <cell r="M36">
            <v>19514.95212031544</v>
          </cell>
          <cell r="N36">
            <v>56086.415864111528</v>
          </cell>
          <cell r="O36">
            <v>116.47571274059727</v>
          </cell>
          <cell r="P36">
            <v>3909.1578709999253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</row>
      </sheetData>
      <sheetData sheetId="2" refreshError="1"/>
      <sheetData sheetId="3" refreshError="1"/>
      <sheetData sheetId="4">
        <row r="1">
          <cell r="F1">
            <v>2015</v>
          </cell>
          <cell r="G1">
            <v>2016</v>
          </cell>
          <cell r="H1">
            <v>2017</v>
          </cell>
          <cell r="I1">
            <v>2018</v>
          </cell>
          <cell r="J1">
            <v>2019</v>
          </cell>
          <cell r="K1">
            <v>2020</v>
          </cell>
          <cell r="L1">
            <v>2021</v>
          </cell>
          <cell r="M1">
            <v>2022</v>
          </cell>
          <cell r="N1">
            <v>2023</v>
          </cell>
          <cell r="O1">
            <v>2024</v>
          </cell>
          <cell r="P1">
            <v>2025</v>
          </cell>
          <cell r="Q1">
            <v>2026</v>
          </cell>
          <cell r="R1">
            <v>2027</v>
          </cell>
          <cell r="S1">
            <v>2028</v>
          </cell>
          <cell r="T1">
            <v>2029</v>
          </cell>
          <cell r="U1">
            <v>2030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1.1059514834552928</v>
          </cell>
          <cell r="K36">
            <v>2.2119029669105856</v>
          </cell>
          <cell r="L36">
            <v>1892.7115904991556</v>
          </cell>
          <cell r="M36">
            <v>2688.8090205691892</v>
          </cell>
          <cell r="N36">
            <v>2819.5821704936634</v>
          </cell>
          <cell r="O36">
            <v>2821.3294671741996</v>
          </cell>
          <cell r="P36">
            <v>1861.1565495531624</v>
          </cell>
          <cell r="Q36">
            <v>1862.5000432573052</v>
          </cell>
          <cell r="R36">
            <v>1862.5000432573052</v>
          </cell>
          <cell r="S36">
            <v>1862.5000432573052</v>
          </cell>
          <cell r="T36">
            <v>1862.5000432573052</v>
          </cell>
          <cell r="U36">
            <v>1862.5000432573052</v>
          </cell>
        </row>
      </sheetData>
      <sheetData sheetId="5" refreshError="1"/>
      <sheetData sheetId="6" refreshError="1"/>
      <sheetData sheetId="7" refreshError="1"/>
      <sheetData sheetId="8" refreshError="1"/>
      <sheetData sheetId="9">
        <row r="1">
          <cell r="F1">
            <v>2015</v>
          </cell>
          <cell r="G1">
            <v>2016</v>
          </cell>
          <cell r="H1">
            <v>2017</v>
          </cell>
          <cell r="I1">
            <v>2018</v>
          </cell>
          <cell r="J1">
            <v>2019</v>
          </cell>
          <cell r="K1">
            <v>2020</v>
          </cell>
          <cell r="L1">
            <v>2021</v>
          </cell>
          <cell r="M1">
            <v>2022</v>
          </cell>
          <cell r="N1">
            <v>2023</v>
          </cell>
          <cell r="O1">
            <v>2024</v>
          </cell>
          <cell r="P1">
            <v>2025</v>
          </cell>
          <cell r="Q1">
            <v>2026</v>
          </cell>
          <cell r="R1">
            <v>2027</v>
          </cell>
          <cell r="S1">
            <v>2028</v>
          </cell>
          <cell r="T1">
            <v>2029</v>
          </cell>
          <cell r="U1">
            <v>2030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0.1095459800498355</v>
          </cell>
          <cell r="K36">
            <v>0.219091960099671</v>
          </cell>
          <cell r="L36">
            <v>187.47562549952892</v>
          </cell>
          <cell r="M36">
            <v>266.33014533769733</v>
          </cell>
          <cell r="N36">
            <v>279.2834015039835</v>
          </cell>
          <cell r="O36">
            <v>279.45647358731679</v>
          </cell>
          <cell r="P36">
            <v>279.45647358731679</v>
          </cell>
          <cell r="Q36">
            <v>279.65820192281694</v>
          </cell>
          <cell r="R36">
            <v>279.65820192281694</v>
          </cell>
          <cell r="S36">
            <v>279.65820192281694</v>
          </cell>
          <cell r="T36">
            <v>279.65820192281694</v>
          </cell>
          <cell r="U36">
            <v>279.65820192281694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 цех result"/>
      <sheetName val="5 цех_CapEx"/>
      <sheetName val="Цех 5_OpEx"/>
      <sheetName val="Цех 5_Аморт"/>
      <sheetName val="Цех 5_Потери добычи"/>
      <sheetName val="Цех 5_Энергоснабжение"/>
      <sheetName val="Цех 5_Затраты по Мероприятиям"/>
      <sheetName val="Цех 5_NPV"/>
      <sheetName val="Потери"/>
      <sheetName val="Цех 5_Потери добычи (физ объем)"/>
    </sheetNames>
    <sheetDataSet>
      <sheetData sheetId="0">
        <row r="8">
          <cell r="C8">
            <v>2018</v>
          </cell>
          <cell r="D8">
            <v>2020</v>
          </cell>
        </row>
        <row r="9">
          <cell r="C9">
            <v>2017</v>
          </cell>
          <cell r="D9">
            <v>2018</v>
          </cell>
        </row>
        <row r="10">
          <cell r="C10">
            <v>2019</v>
          </cell>
          <cell r="D10">
            <v>2020</v>
          </cell>
        </row>
        <row r="11">
          <cell r="C11">
            <v>2020</v>
          </cell>
          <cell r="D11">
            <v>2022</v>
          </cell>
        </row>
        <row r="12">
          <cell r="C12">
            <v>2020</v>
          </cell>
          <cell r="D12">
            <v>2022</v>
          </cell>
        </row>
        <row r="13">
          <cell r="C13">
            <v>2018</v>
          </cell>
          <cell r="D13">
            <v>2020</v>
          </cell>
        </row>
        <row r="14">
          <cell r="C14">
            <v>2019</v>
          </cell>
          <cell r="D14">
            <v>2020</v>
          </cell>
        </row>
        <row r="15">
          <cell r="C15">
            <v>2015</v>
          </cell>
          <cell r="D15">
            <v>2018</v>
          </cell>
        </row>
        <row r="16">
          <cell r="C16">
            <v>2018</v>
          </cell>
          <cell r="D16">
            <v>2020</v>
          </cell>
        </row>
        <row r="17">
          <cell r="C17">
            <v>2020</v>
          </cell>
          <cell r="D17">
            <v>2021</v>
          </cell>
        </row>
        <row r="18">
          <cell r="C18">
            <v>2017</v>
          </cell>
          <cell r="D18">
            <v>2018</v>
          </cell>
        </row>
        <row r="20">
          <cell r="C20">
            <v>2018</v>
          </cell>
          <cell r="D20">
            <v>2020</v>
          </cell>
        </row>
        <row r="21">
          <cell r="C21">
            <v>2017</v>
          </cell>
          <cell r="D21">
            <v>2018</v>
          </cell>
        </row>
        <row r="22">
          <cell r="C22">
            <v>2020</v>
          </cell>
          <cell r="D22">
            <v>2022</v>
          </cell>
        </row>
        <row r="23">
          <cell r="C23">
            <v>2018</v>
          </cell>
          <cell r="D23">
            <v>2020</v>
          </cell>
        </row>
        <row r="24">
          <cell r="C24">
            <v>2020</v>
          </cell>
          <cell r="D24">
            <v>2022</v>
          </cell>
        </row>
        <row r="25">
          <cell r="C25">
            <v>2019</v>
          </cell>
          <cell r="D25">
            <v>2020</v>
          </cell>
        </row>
        <row r="26">
          <cell r="C26">
            <v>2020</v>
          </cell>
          <cell r="D26">
            <v>2022</v>
          </cell>
        </row>
        <row r="27">
          <cell r="C27">
            <v>2020</v>
          </cell>
          <cell r="D27">
            <v>2022</v>
          </cell>
        </row>
        <row r="28">
          <cell r="C28">
            <v>2018</v>
          </cell>
          <cell r="D28">
            <v>2019</v>
          </cell>
        </row>
        <row r="29">
          <cell r="C29">
            <v>2018</v>
          </cell>
          <cell r="D29">
            <v>2020</v>
          </cell>
        </row>
        <row r="31">
          <cell r="C31">
            <v>2019</v>
          </cell>
          <cell r="D31">
            <v>2021</v>
          </cell>
        </row>
        <row r="32">
          <cell r="C32">
            <v>2021</v>
          </cell>
          <cell r="D32">
            <v>2023</v>
          </cell>
        </row>
      </sheetData>
      <sheetData sheetId="1">
        <row r="1">
          <cell r="F1">
            <v>2015</v>
          </cell>
          <cell r="G1">
            <v>2016</v>
          </cell>
          <cell r="H1">
            <v>2017</v>
          </cell>
          <cell r="I1">
            <v>2018</v>
          </cell>
          <cell r="J1">
            <v>2019</v>
          </cell>
          <cell r="K1">
            <v>2020</v>
          </cell>
          <cell r="L1">
            <v>2021</v>
          </cell>
          <cell r="M1">
            <v>2022</v>
          </cell>
          <cell r="N1">
            <v>2023</v>
          </cell>
          <cell r="O1">
            <v>2024</v>
          </cell>
          <cell r="P1">
            <v>2025</v>
          </cell>
          <cell r="Q1">
            <v>2026</v>
          </cell>
          <cell r="R1">
            <v>2027</v>
          </cell>
          <cell r="S1">
            <v>2028</v>
          </cell>
          <cell r="T1">
            <v>2029</v>
          </cell>
          <cell r="U1">
            <v>2030</v>
          </cell>
        </row>
        <row r="8">
          <cell r="B8" t="str">
            <v>ПС 35/6 кВ 2х4000 "Теребилово"</v>
          </cell>
          <cell r="F8">
            <v>0</v>
          </cell>
          <cell r="G8">
            <v>0</v>
          </cell>
          <cell r="H8">
            <v>0</v>
          </cell>
          <cell r="I8">
            <v>472.4102745254412</v>
          </cell>
          <cell r="J8">
            <v>0</v>
          </cell>
          <cell r="K8">
            <v>17113.813327020605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V8">
            <v>17586.223601546048</v>
          </cell>
          <cell r="W8">
            <v>1</v>
          </cell>
        </row>
        <row r="9">
          <cell r="B9" t="str">
            <v xml:space="preserve"> ПС-35/6 кВ "Дерюжевка"</v>
          </cell>
          <cell r="F9">
            <v>0</v>
          </cell>
          <cell r="G9">
            <v>0</v>
          </cell>
          <cell r="H9">
            <v>2275.5277021380002</v>
          </cell>
          <cell r="I9">
            <v>77474.891674692481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V9">
            <v>79750.419376830483</v>
          </cell>
          <cell r="W9">
            <v>1</v>
          </cell>
        </row>
        <row r="10">
          <cell r="B10" t="str">
            <v>ПП-35 кВ «Мочалеевка»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360.62416000084204</v>
          </cell>
          <cell r="K10">
            <v>12301.491137895391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V10">
            <v>12662.115297896233</v>
          </cell>
          <cell r="W10">
            <v>1</v>
          </cell>
        </row>
        <row r="11">
          <cell r="B11" t="str">
            <v>ПС 35/6 кВ «Аманак»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1028.9472262184927</v>
          </cell>
          <cell r="L11">
            <v>0</v>
          </cell>
          <cell r="M11">
            <v>35631.413496720183</v>
          </cell>
          <cell r="N11">
            <v>0</v>
          </cell>
          <cell r="O11">
            <v>0</v>
          </cell>
          <cell r="P11">
            <v>0</v>
          </cell>
          <cell r="V11">
            <v>36660.360722938676</v>
          </cell>
          <cell r="W11">
            <v>1</v>
          </cell>
        </row>
        <row r="12">
          <cell r="B12" t="str">
            <v xml:space="preserve">ПС 35/6 кВ «Мочалеевка» 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1028.9472262184927</v>
          </cell>
          <cell r="L12">
            <v>0</v>
          </cell>
          <cell r="M12">
            <v>35631.413496720183</v>
          </cell>
          <cell r="N12">
            <v>0</v>
          </cell>
          <cell r="O12">
            <v>0</v>
          </cell>
          <cell r="P12">
            <v>0</v>
          </cell>
          <cell r="V12">
            <v>36660.360722938676</v>
          </cell>
          <cell r="W12">
            <v>1</v>
          </cell>
        </row>
        <row r="13">
          <cell r="B13" t="str">
            <v>ПС 35/6 кВ "Сологаевская"</v>
          </cell>
          <cell r="F13">
            <v>0</v>
          </cell>
          <cell r="G13">
            <v>0</v>
          </cell>
          <cell r="H13">
            <v>0</v>
          </cell>
          <cell r="I13">
            <v>2517.2137410015021</v>
          </cell>
          <cell r="J13">
            <v>0</v>
          </cell>
          <cell r="K13">
            <v>91190.070137627612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V13">
            <v>93707.28387862911</v>
          </cell>
          <cell r="W13">
            <v>1</v>
          </cell>
        </row>
        <row r="14">
          <cell r="B14" t="str">
            <v>ПС 35/6 кВ 2х4000 кВА "Ключевская"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1222.5199315337288</v>
          </cell>
          <cell r="K14">
            <v>41702.192397834711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V14">
            <v>42924.712329368442</v>
          </cell>
          <cell r="W14">
            <v>1</v>
          </cell>
        </row>
        <row r="15">
          <cell r="B15" t="str">
            <v>ПС 35/6 кВ 2х4000 кВА "БКНС"</v>
          </cell>
          <cell r="F15">
            <v>1201.4470200000001</v>
          </cell>
          <cell r="G15">
            <v>0</v>
          </cell>
          <cell r="H15">
            <v>0</v>
          </cell>
          <cell r="I15">
            <v>14024.292684394024</v>
          </cell>
          <cell r="J15">
            <v>14893.798830826456</v>
          </cell>
          <cell r="K15">
            <v>15712.957766521908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V15">
            <v>45832.496301742387</v>
          </cell>
          <cell r="W15">
            <v>1</v>
          </cell>
        </row>
        <row r="16">
          <cell r="B16" t="str">
            <v>ПС 35/6 кВ 2х1600 кВА "Городецк"</v>
          </cell>
          <cell r="F16">
            <v>0</v>
          </cell>
          <cell r="G16">
            <v>0</v>
          </cell>
          <cell r="H16">
            <v>0</v>
          </cell>
          <cell r="I16">
            <v>1569.6006468807598</v>
          </cell>
          <cell r="J16">
            <v>0</v>
          </cell>
          <cell r="K16">
            <v>56861.279098284067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V16">
            <v>58430.879745164828</v>
          </cell>
          <cell r="W16">
            <v>1</v>
          </cell>
        </row>
        <row r="17">
          <cell r="B17" t="str">
            <v>ПС 35/6 кВ 2500 кВА "Кротково-Алешкино"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1028.9472262184927</v>
          </cell>
          <cell r="L17">
            <v>34932.758330117824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V17">
            <v>35961.705556336317</v>
          </cell>
          <cell r="W17">
            <v>1</v>
          </cell>
        </row>
        <row r="18">
          <cell r="B18" t="str">
            <v xml:space="preserve"> ПС 35/6 кВ «Боголюбовка»</v>
          </cell>
          <cell r="F18">
            <v>0</v>
          </cell>
          <cell r="G18">
            <v>0</v>
          </cell>
          <cell r="H18">
            <v>717.64006965839985</v>
          </cell>
          <cell r="I18">
            <v>12216.745725829773</v>
          </cell>
          <cell r="J18">
            <v>12974.183960831218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V18">
            <v>25908.56975631939</v>
          </cell>
          <cell r="W18">
            <v>1</v>
          </cell>
        </row>
        <row r="20">
          <cell r="B20" t="str">
            <v>ПС 35/6кВ 2х2500кВА "Сологаевка"</v>
          </cell>
          <cell r="F20">
            <v>0</v>
          </cell>
          <cell r="G20">
            <v>0</v>
          </cell>
          <cell r="H20">
            <v>0</v>
          </cell>
          <cell r="I20">
            <v>4.5782367337979997</v>
          </cell>
          <cell r="J20">
            <v>0</v>
          </cell>
          <cell r="K20">
            <v>165.85390507823928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V20">
            <v>170.43214181203729</v>
          </cell>
          <cell r="W20">
            <v>1</v>
          </cell>
        </row>
        <row r="21">
          <cell r="B21" t="str">
            <v>ПС 35/6 кВ 2х 2500кВА Дерюжевка</v>
          </cell>
          <cell r="F21">
            <v>0</v>
          </cell>
          <cell r="G21">
            <v>0</v>
          </cell>
          <cell r="H21">
            <v>77.323397483999997</v>
          </cell>
          <cell r="I21">
            <v>2632.6297141377477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V21">
            <v>2709.9531116217477</v>
          </cell>
          <cell r="W21">
            <v>1</v>
          </cell>
        </row>
        <row r="22">
          <cell r="B22" t="str">
            <v>ПС 35/6 кВ 2х 4000кВА Мочалеевка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91.225504887126007</v>
          </cell>
          <cell r="L22">
            <v>0</v>
          </cell>
          <cell r="M22">
            <v>3159.0480087362862</v>
          </cell>
          <cell r="N22">
            <v>0</v>
          </cell>
          <cell r="O22">
            <v>0</v>
          </cell>
          <cell r="P22">
            <v>0</v>
          </cell>
          <cell r="V22">
            <v>3250.2735136234123</v>
          </cell>
          <cell r="W22">
            <v>1</v>
          </cell>
        </row>
        <row r="23">
          <cell r="B23" t="str">
            <v>ПС 35/6 кВ 2х 4000кВА Теребилово</v>
          </cell>
          <cell r="F23">
            <v>0</v>
          </cell>
          <cell r="G23">
            <v>0</v>
          </cell>
          <cell r="H23">
            <v>0</v>
          </cell>
          <cell r="I23">
            <v>549.65012406212372</v>
          </cell>
          <cell r="J23">
            <v>0</v>
          </cell>
          <cell r="K23">
            <v>15978.255036258208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V23">
            <v>16527.905160320333</v>
          </cell>
          <cell r="W23">
            <v>1</v>
          </cell>
        </row>
        <row r="24">
          <cell r="B24" t="str">
            <v>ПС 35/6 кВ 1х 4000кВА    Аманак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380.45848880088835</v>
          </cell>
          <cell r="L24">
            <v>0</v>
          </cell>
          <cell r="M24">
            <v>13174.897008685963</v>
          </cell>
          <cell r="N24">
            <v>0</v>
          </cell>
          <cell r="O24">
            <v>0</v>
          </cell>
          <cell r="P24">
            <v>0</v>
          </cell>
          <cell r="V24">
            <v>13555.355497486851</v>
          </cell>
          <cell r="W24">
            <v>1</v>
          </cell>
        </row>
        <row r="25">
          <cell r="B25" t="str">
            <v>ПС 35/6 кВ 2х 4000кВА Ключевская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360.01120038395749</v>
          </cell>
          <cell r="K25">
            <v>12280.582063764095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V25">
            <v>12640.593264148052</v>
          </cell>
          <cell r="W25">
            <v>1</v>
          </cell>
        </row>
        <row r="26">
          <cell r="B26" t="str">
            <v>ПС 35/6 кВ 1х 3150кВА Кротково-Алешкино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3159.1022545857168</v>
          </cell>
          <cell r="L26">
            <v>0</v>
          </cell>
          <cell r="M26">
            <v>77479.984005470498</v>
          </cell>
          <cell r="N26">
            <v>0</v>
          </cell>
          <cell r="O26">
            <v>0</v>
          </cell>
          <cell r="P26">
            <v>0</v>
          </cell>
          <cell r="V26">
            <v>80639.08626005621</v>
          </cell>
          <cell r="W26">
            <v>1</v>
          </cell>
        </row>
        <row r="27">
          <cell r="B27" t="str">
            <v xml:space="preserve">ПС 35/6 кВ 2х 4000кВА  Жуково 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6394.9104759965967</v>
          </cell>
          <cell r="L27">
            <v>0</v>
          </cell>
          <cell r="M27">
            <v>138466.27815498254</v>
          </cell>
          <cell r="N27">
            <v>0</v>
          </cell>
          <cell r="O27">
            <v>0</v>
          </cell>
          <cell r="P27">
            <v>0</v>
          </cell>
          <cell r="V27">
            <v>144861.18863097913</v>
          </cell>
          <cell r="W27">
            <v>1</v>
          </cell>
        </row>
        <row r="28">
          <cell r="B28" t="str">
            <v xml:space="preserve">ПС 35/6 кВ 2х 2500кВА Сологаевка </v>
          </cell>
          <cell r="F28">
            <v>0</v>
          </cell>
          <cell r="G28">
            <v>0</v>
          </cell>
          <cell r="H28">
            <v>0</v>
          </cell>
          <cell r="I28">
            <v>5764.9950430059307</v>
          </cell>
          <cell r="J28">
            <v>101918.17419859864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V28">
            <v>107683.16924160457</v>
          </cell>
          <cell r="W28">
            <v>1</v>
          </cell>
        </row>
        <row r="29">
          <cell r="B29" t="str">
            <v xml:space="preserve">ПС 35/6 кВ 2х 4000кВА    БКНС </v>
          </cell>
          <cell r="F29">
            <v>0</v>
          </cell>
          <cell r="G29">
            <v>0</v>
          </cell>
          <cell r="H29">
            <v>0</v>
          </cell>
          <cell r="I29">
            <v>1606.7239285296419</v>
          </cell>
          <cell r="J29">
            <v>0</v>
          </cell>
          <cell r="K29">
            <v>51053.95690823358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V29">
            <v>52660.680836763218</v>
          </cell>
          <cell r="W29">
            <v>1</v>
          </cell>
        </row>
        <row r="31">
          <cell r="B31" t="str">
            <v xml:space="preserve">ПС 35/6 кВ 1х 4000кВА    Боголюбовка 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4007.4745224933195</v>
          </cell>
          <cell r="K31">
            <v>0</v>
          </cell>
          <cell r="L31">
            <v>84084.281526978317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V31">
            <v>88091.756049471631</v>
          </cell>
          <cell r="W31">
            <v>1</v>
          </cell>
        </row>
        <row r="32">
          <cell r="B32" t="str">
            <v>ПС 35/6 кВ 1800 кВА "Садовая"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5336.6290499235056</v>
          </cell>
          <cell r="M32">
            <v>0</v>
          </cell>
          <cell r="N32">
            <v>153478.14712544685</v>
          </cell>
          <cell r="O32">
            <v>0</v>
          </cell>
          <cell r="P32">
            <v>0</v>
          </cell>
          <cell r="V32">
            <v>158814.77617537035</v>
          </cell>
          <cell r="W32">
            <v>1</v>
          </cell>
        </row>
        <row r="34">
          <cell r="F34">
            <v>1201.4470200000001</v>
          </cell>
          <cell r="G34">
            <v>0</v>
          </cell>
          <cell r="H34">
            <v>3070.4911692804003</v>
          </cell>
          <cell r="I34">
            <v>129716.49054920314</v>
          </cell>
          <cell r="J34">
            <v>146621.02477000601</v>
          </cell>
          <cell r="K34">
            <v>327472.99018144415</v>
          </cell>
          <cell r="L34">
            <v>124353.66890701964</v>
          </cell>
          <cell r="M34">
            <v>303543.03417131567</v>
          </cell>
          <cell r="N34">
            <v>153478.14712544685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</sheetData>
      <sheetData sheetId="2" refreshError="1"/>
      <sheetData sheetId="3" refreshError="1"/>
      <sheetData sheetId="4">
        <row r="1">
          <cell r="F1">
            <v>2015</v>
          </cell>
          <cell r="G1">
            <v>2016</v>
          </cell>
          <cell r="H1">
            <v>2017</v>
          </cell>
          <cell r="I1">
            <v>2018</v>
          </cell>
          <cell r="J1">
            <v>2019</v>
          </cell>
          <cell r="K1">
            <v>2020</v>
          </cell>
          <cell r="L1">
            <v>2021</v>
          </cell>
          <cell r="M1">
            <v>2022</v>
          </cell>
          <cell r="N1">
            <v>2023</v>
          </cell>
          <cell r="O1">
            <v>2024</v>
          </cell>
          <cell r="P1">
            <v>2025</v>
          </cell>
          <cell r="Q1">
            <v>2026</v>
          </cell>
          <cell r="R1">
            <v>2027</v>
          </cell>
          <cell r="S1">
            <v>2028</v>
          </cell>
          <cell r="T1">
            <v>2029</v>
          </cell>
          <cell r="U1">
            <v>2030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634.06342368464243</v>
          </cell>
          <cell r="K34">
            <v>3488.2543636865985</v>
          </cell>
          <cell r="L34">
            <v>5990.1717518335281</v>
          </cell>
          <cell r="M34">
            <v>7419.4870187159158</v>
          </cell>
          <cell r="N34">
            <v>8620.9278345939165</v>
          </cell>
          <cell r="O34">
            <v>8620.9278345939165</v>
          </cell>
          <cell r="P34">
            <v>5686.9984485186524</v>
          </cell>
          <cell r="Q34">
            <v>5686.9984485186524</v>
          </cell>
          <cell r="R34">
            <v>5686.9984485186524</v>
          </cell>
          <cell r="S34">
            <v>5686.9984485186524</v>
          </cell>
          <cell r="T34">
            <v>5686.9984485186524</v>
          </cell>
          <cell r="U34">
            <v>5686.9984485186524</v>
          </cell>
        </row>
      </sheetData>
      <sheetData sheetId="5" refreshError="1"/>
      <sheetData sheetId="6" refreshError="1"/>
      <sheetData sheetId="7" refreshError="1"/>
      <sheetData sheetId="8" refreshError="1"/>
      <sheetData sheetId="9">
        <row r="1">
          <cell r="F1">
            <v>2015</v>
          </cell>
          <cell r="G1">
            <v>2016</v>
          </cell>
          <cell r="H1">
            <v>2017</v>
          </cell>
          <cell r="I1">
            <v>2018</v>
          </cell>
          <cell r="J1">
            <v>2019</v>
          </cell>
          <cell r="K1">
            <v>2020</v>
          </cell>
          <cell r="L1">
            <v>2021</v>
          </cell>
          <cell r="M1">
            <v>2022</v>
          </cell>
          <cell r="N1">
            <v>2023</v>
          </cell>
          <cell r="O1">
            <v>2024</v>
          </cell>
          <cell r="P1">
            <v>2025</v>
          </cell>
          <cell r="Q1">
            <v>2026</v>
          </cell>
          <cell r="R1">
            <v>2027</v>
          </cell>
          <cell r="S1">
            <v>2028</v>
          </cell>
          <cell r="T1">
            <v>2029</v>
          </cell>
          <cell r="U1">
            <v>2030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62.804833847032</v>
          </cell>
          <cell r="K34">
            <v>345.51628046042646</v>
          </cell>
          <cell r="L34">
            <v>593.3345585570346</v>
          </cell>
          <cell r="M34">
            <v>734.9101557266664</v>
          </cell>
          <cell r="N34">
            <v>853.91448242283832</v>
          </cell>
          <cell r="O34">
            <v>853.91448242283832</v>
          </cell>
          <cell r="P34">
            <v>853.91448242283832</v>
          </cell>
          <cell r="Q34">
            <v>853.91448242283832</v>
          </cell>
          <cell r="R34">
            <v>853.91448242283832</v>
          </cell>
          <cell r="S34">
            <v>853.91448242283832</v>
          </cell>
          <cell r="T34">
            <v>853.91448242283832</v>
          </cell>
          <cell r="U34">
            <v>853.91448242283832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 цех result"/>
      <sheetName val="6 цех_CapEx"/>
      <sheetName val="Цех 6_OpEx"/>
      <sheetName val="Цех 6_Аморт"/>
      <sheetName val="Цех 6_Потери добычи"/>
      <sheetName val="Цех 6_Энергоснабжение"/>
      <sheetName val="Цех 6_Затраты по Мероприятиям"/>
      <sheetName val="Цех 6_NPC"/>
      <sheetName val="Потери"/>
      <sheetName val="Цех 6_Потери добычи (физ объем)"/>
    </sheetNames>
    <sheetDataSet>
      <sheetData sheetId="0">
        <row r="8">
          <cell r="C8">
            <v>2018</v>
          </cell>
          <cell r="D8">
            <v>2020</v>
          </cell>
        </row>
        <row r="9">
          <cell r="C9">
            <v>2018</v>
          </cell>
          <cell r="D9">
            <v>2020</v>
          </cell>
        </row>
        <row r="10">
          <cell r="C10">
            <v>2018</v>
          </cell>
          <cell r="D10">
            <v>2020</v>
          </cell>
        </row>
        <row r="11">
          <cell r="C11">
            <v>2018</v>
          </cell>
          <cell r="D11">
            <v>2020</v>
          </cell>
        </row>
        <row r="12">
          <cell r="C12">
            <v>2017</v>
          </cell>
          <cell r="D12">
            <v>2018</v>
          </cell>
        </row>
        <row r="13">
          <cell r="C13">
            <v>2017</v>
          </cell>
          <cell r="D13">
            <v>2018</v>
          </cell>
        </row>
        <row r="14">
          <cell r="C14">
            <v>2021</v>
          </cell>
          <cell r="D14">
            <v>2023</v>
          </cell>
        </row>
        <row r="15">
          <cell r="C15">
            <v>2019</v>
          </cell>
          <cell r="D15">
            <v>2021</v>
          </cell>
        </row>
        <row r="16">
          <cell r="C16">
            <v>2019</v>
          </cell>
          <cell r="D16">
            <v>2020</v>
          </cell>
        </row>
        <row r="18">
          <cell r="C18">
            <v>2019</v>
          </cell>
          <cell r="D18">
            <v>2021</v>
          </cell>
        </row>
        <row r="19">
          <cell r="C19">
            <v>2018</v>
          </cell>
          <cell r="D19">
            <v>2020</v>
          </cell>
        </row>
        <row r="20">
          <cell r="C20">
            <v>2016</v>
          </cell>
          <cell r="D20">
            <v>2017</v>
          </cell>
        </row>
        <row r="21">
          <cell r="C21">
            <v>2024</v>
          </cell>
          <cell r="D21">
            <v>2025</v>
          </cell>
        </row>
        <row r="22">
          <cell r="C22">
            <v>2024</v>
          </cell>
          <cell r="D22">
            <v>2025</v>
          </cell>
        </row>
        <row r="24">
          <cell r="C24">
            <v>2024</v>
          </cell>
          <cell r="D24">
            <v>2025</v>
          </cell>
        </row>
        <row r="25">
          <cell r="C25">
            <v>2018</v>
          </cell>
          <cell r="D25">
            <v>2020</v>
          </cell>
        </row>
      </sheetData>
      <sheetData sheetId="1">
        <row r="1">
          <cell r="F1">
            <v>2015</v>
          </cell>
          <cell r="G1">
            <v>2016</v>
          </cell>
          <cell r="H1">
            <v>2017</v>
          </cell>
          <cell r="I1">
            <v>2018</v>
          </cell>
          <cell r="J1">
            <v>2019</v>
          </cell>
          <cell r="K1">
            <v>2020</v>
          </cell>
          <cell r="L1">
            <v>2021</v>
          </cell>
          <cell r="M1">
            <v>2022</v>
          </cell>
          <cell r="N1">
            <v>2023</v>
          </cell>
          <cell r="O1">
            <v>2024</v>
          </cell>
          <cell r="P1">
            <v>2025</v>
          </cell>
          <cell r="Q1">
            <v>2026</v>
          </cell>
          <cell r="R1">
            <v>2027</v>
          </cell>
          <cell r="S1">
            <v>2028</v>
          </cell>
          <cell r="T1">
            <v>2029</v>
          </cell>
          <cell r="U1">
            <v>2030</v>
          </cell>
        </row>
        <row r="8">
          <cell r="B8" t="str">
            <v>ПС 110/35/6кВ 2х16000кВА "Кудиновская"</v>
          </cell>
          <cell r="F8">
            <v>0</v>
          </cell>
          <cell r="G8">
            <v>0</v>
          </cell>
          <cell r="H8">
            <v>0</v>
          </cell>
          <cell r="I8">
            <v>10867.762507788295</v>
          </cell>
          <cell r="J8">
            <v>0</v>
          </cell>
          <cell r="K8">
            <v>190762.81339783364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V8">
            <v>201630.57590562192</v>
          </cell>
          <cell r="W8">
            <v>1</v>
          </cell>
        </row>
        <row r="9">
          <cell r="B9" t="str">
            <v>ПС 35/6кВ 2х4000кВА "Горбатовская-2"</v>
          </cell>
          <cell r="F9">
            <v>0</v>
          </cell>
          <cell r="G9">
            <v>0</v>
          </cell>
          <cell r="H9">
            <v>0</v>
          </cell>
          <cell r="I9">
            <v>882.06397283230194</v>
          </cell>
          <cell r="J9">
            <v>0</v>
          </cell>
          <cell r="K9">
            <v>31954.169897566935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V9">
            <v>32836.233870399235</v>
          </cell>
          <cell r="W9">
            <v>1</v>
          </cell>
        </row>
        <row r="10">
          <cell r="B10" t="str">
            <v>ПС 35/6кВ 2х4000кВА "Гараевская"</v>
          </cell>
          <cell r="F10">
            <v>0</v>
          </cell>
          <cell r="G10">
            <v>0</v>
          </cell>
          <cell r="H10">
            <v>0</v>
          </cell>
          <cell r="I10">
            <v>1146.5704746915587</v>
          </cell>
          <cell r="J10">
            <v>0</v>
          </cell>
          <cell r="K10">
            <v>41536.338492756462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V10">
            <v>42682.90896744802</v>
          </cell>
          <cell r="W10">
            <v>1</v>
          </cell>
        </row>
        <row r="11">
          <cell r="B11" t="str">
            <v>ПС 35/6кВ 2500кВА "Восточная"</v>
          </cell>
          <cell r="F11">
            <v>0</v>
          </cell>
          <cell r="G11">
            <v>0</v>
          </cell>
          <cell r="H11">
            <v>0</v>
          </cell>
          <cell r="I11">
            <v>5080.2611984986906</v>
          </cell>
          <cell r="J11">
            <v>0</v>
          </cell>
          <cell r="K11">
            <v>129207.22014512791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V11">
            <v>134287.4813436266</v>
          </cell>
          <cell r="W11">
            <v>1</v>
          </cell>
        </row>
        <row r="12">
          <cell r="B12" t="str">
            <v>ПС 35/6кВ 4000кВА "Рассветская"</v>
          </cell>
          <cell r="F12">
            <v>0</v>
          </cell>
          <cell r="G12">
            <v>0</v>
          </cell>
          <cell r="H12">
            <v>1076.9802142212</v>
          </cell>
          <cell r="I12">
            <v>18333.972676794598</v>
          </cell>
          <cell r="J12">
            <v>19470.67898275586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V12">
            <v>38881.631873771657</v>
          </cell>
          <cell r="W12">
            <v>1</v>
          </cell>
        </row>
        <row r="13">
          <cell r="B13" t="str">
            <v>ПС 35/6кВ 4000кВА "Рассветская"</v>
          </cell>
          <cell r="F13">
            <v>0</v>
          </cell>
          <cell r="G13">
            <v>0</v>
          </cell>
          <cell r="H13">
            <v>534.53521317999991</v>
          </cell>
          <cell r="I13">
            <v>8920.11545404551</v>
          </cell>
          <cell r="J13">
            <v>9473.1626121963327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V13">
            <v>18927.81327942184</v>
          </cell>
          <cell r="W13">
            <v>1</v>
          </cell>
        </row>
        <row r="14">
          <cell r="B14" t="str">
            <v>ПС 35/6кВ 2х2500кВА "Колыванская"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755.87087438848073</v>
          </cell>
          <cell r="M14">
            <v>0</v>
          </cell>
          <cell r="N14">
            <v>25427.193866078742</v>
          </cell>
          <cell r="O14">
            <v>0</v>
          </cell>
          <cell r="P14">
            <v>0</v>
          </cell>
          <cell r="V14">
            <v>26183.064740467224</v>
          </cell>
          <cell r="W14">
            <v>1</v>
          </cell>
        </row>
        <row r="15">
          <cell r="B15" t="str">
            <v>ПС 35/6кВ 2х4000кВА "Дзержинская"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3159.2167202270966</v>
          </cell>
          <cell r="K15">
            <v>0</v>
          </cell>
          <cell r="L15">
            <v>113154.45507255397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V15">
            <v>116313.67179278107</v>
          </cell>
          <cell r="W15">
            <v>1</v>
          </cell>
        </row>
        <row r="16">
          <cell r="B16" t="str">
            <v>ПС 35/6кВ 2х4000кВА "Тверская"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2973.207613973892</v>
          </cell>
          <cell r="K16">
            <v>101421.06705867275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V16">
            <v>104394.27467264664</v>
          </cell>
          <cell r="W16">
            <v>1</v>
          </cell>
        </row>
        <row r="18">
          <cell r="B18" t="str">
            <v xml:space="preserve">ПС 35/6кВ Дзержинская 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4.8620874112934755</v>
          </cell>
          <cell r="K18">
            <v>0</v>
          </cell>
          <cell r="L18">
            <v>174.14660033215122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V18">
            <v>179.00868774344471</v>
          </cell>
          <cell r="W18">
            <v>1</v>
          </cell>
        </row>
        <row r="19">
          <cell r="B19" t="str">
            <v>ПС 110/35/6 кВ Кудиновская 110</v>
          </cell>
          <cell r="F19">
            <v>0</v>
          </cell>
          <cell r="G19">
            <v>0</v>
          </cell>
          <cell r="H19">
            <v>0</v>
          </cell>
          <cell r="I19">
            <v>5673.8818490819394</v>
          </cell>
          <cell r="J19">
            <v>0</v>
          </cell>
          <cell r="K19">
            <v>99594.159201929404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V19">
            <v>105268.04105101134</v>
          </cell>
          <cell r="W19">
            <v>1</v>
          </cell>
        </row>
        <row r="20">
          <cell r="B20" t="str">
            <v>ПС 35/6кВ Тверская</v>
          </cell>
          <cell r="F20">
            <v>0</v>
          </cell>
          <cell r="G20">
            <v>72.946601400000006</v>
          </cell>
          <cell r="H20">
            <v>2500.1231853160002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V20">
            <v>2573.0697867160002</v>
          </cell>
          <cell r="W20">
            <v>1</v>
          </cell>
        </row>
        <row r="21">
          <cell r="B21" t="str">
            <v>ПС 35/6кВ 1х4000кВА "Медведевская"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16028.307669487294</v>
          </cell>
          <cell r="P21">
            <v>537942.06200333266</v>
          </cell>
          <cell r="V21">
            <v>553970.36967281997</v>
          </cell>
          <cell r="W21">
            <v>1</v>
          </cell>
        </row>
        <row r="22">
          <cell r="B22" t="str">
            <v>ПС 35/6кВ 2500кВА "Хомяковская"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16028.307669487294</v>
          </cell>
          <cell r="P22">
            <v>537942.06200333266</v>
          </cell>
          <cell r="V22">
            <v>553970.36967281997</v>
          </cell>
          <cell r="W22">
            <v>1</v>
          </cell>
        </row>
        <row r="24">
          <cell r="B24" t="str">
            <v>ПС 35/10кВ 2х4000кВА "Маланинская"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16028.307669487294</v>
          </cell>
          <cell r="P24">
            <v>537942.06200333266</v>
          </cell>
          <cell r="V24">
            <v>553970.36967281997</v>
          </cell>
          <cell r="W24">
            <v>1</v>
          </cell>
        </row>
        <row r="25">
          <cell r="B25" t="str">
            <v>ПС 35/6кВ 2х4000кВА "Кудиновская"</v>
          </cell>
          <cell r="F25">
            <v>0</v>
          </cell>
          <cell r="G25">
            <v>0</v>
          </cell>
          <cell r="H25">
            <v>0</v>
          </cell>
          <cell r="I25">
            <v>15403.546627398586</v>
          </cell>
          <cell r="J25">
            <v>0</v>
          </cell>
          <cell r="K25">
            <v>558017.96821665124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V25">
            <v>573421.51484404982</v>
          </cell>
          <cell r="W25">
            <v>1</v>
          </cell>
        </row>
        <row r="27">
          <cell r="F27">
            <v>0</v>
          </cell>
          <cell r="G27">
            <v>72.946601400000006</v>
          </cell>
          <cell r="H27">
            <v>4111.6386127172</v>
          </cell>
          <cell r="I27">
            <v>66308.174761131479</v>
          </cell>
          <cell r="J27">
            <v>35081.128016564478</v>
          </cell>
          <cell r="K27">
            <v>1152493.7364105382</v>
          </cell>
          <cell r="L27">
            <v>114084.47254727461</v>
          </cell>
          <cell r="M27">
            <v>0</v>
          </cell>
          <cell r="N27">
            <v>25427.193866078742</v>
          </cell>
          <cell r="O27">
            <v>48084.923008461883</v>
          </cell>
          <cell r="P27">
            <v>1613826.186009998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</sheetData>
      <sheetData sheetId="2" refreshError="1"/>
      <sheetData sheetId="3" refreshError="1"/>
      <sheetData sheetId="4">
        <row r="1">
          <cell r="F1">
            <v>2015</v>
          </cell>
          <cell r="G1">
            <v>2016</v>
          </cell>
          <cell r="H1">
            <v>2017</v>
          </cell>
          <cell r="I1">
            <v>2018</v>
          </cell>
          <cell r="J1">
            <v>2019</v>
          </cell>
          <cell r="K1">
            <v>2020</v>
          </cell>
          <cell r="L1">
            <v>2021</v>
          </cell>
          <cell r="M1">
            <v>2022</v>
          </cell>
          <cell r="N1">
            <v>2023</v>
          </cell>
          <cell r="O1">
            <v>2024</v>
          </cell>
          <cell r="P1">
            <v>2025</v>
          </cell>
          <cell r="Q1">
            <v>2026</v>
          </cell>
          <cell r="R1">
            <v>2027</v>
          </cell>
          <cell r="S1">
            <v>2028</v>
          </cell>
          <cell r="T1">
            <v>2029</v>
          </cell>
          <cell r="U1">
            <v>2030</v>
          </cell>
        </row>
        <row r="27">
          <cell r="F27">
            <v>311.59086897880201</v>
          </cell>
          <cell r="G27">
            <v>329.57622898285905</v>
          </cell>
          <cell r="H27">
            <v>350.89444580554311</v>
          </cell>
          <cell r="I27">
            <v>602.15474901087214</v>
          </cell>
          <cell r="J27">
            <v>602.15474901087214</v>
          </cell>
          <cell r="K27">
            <v>1170.0549324813346</v>
          </cell>
          <cell r="L27">
            <v>2911.800328093123</v>
          </cell>
          <cell r="M27">
            <v>4019.1197944476962</v>
          </cell>
          <cell r="N27">
            <v>4019.1197944476962</v>
          </cell>
          <cell r="O27">
            <v>4534.0188450201867</v>
          </cell>
          <cell r="P27">
            <v>2990.9725068935941</v>
          </cell>
          <cell r="Q27">
            <v>3077.0323289378671</v>
          </cell>
          <cell r="R27">
            <v>3077.0323289378671</v>
          </cell>
          <cell r="S27">
            <v>3077.0323289378671</v>
          </cell>
          <cell r="T27">
            <v>3077.0323289378671</v>
          </cell>
          <cell r="U27">
            <v>3077.0323289378671</v>
          </cell>
        </row>
      </sheetData>
      <sheetData sheetId="5" refreshError="1"/>
      <sheetData sheetId="6" refreshError="1"/>
      <sheetData sheetId="7" refreshError="1"/>
      <sheetData sheetId="8" refreshError="1"/>
      <sheetData sheetId="9">
        <row r="1">
          <cell r="F1">
            <v>2015</v>
          </cell>
          <cell r="G1">
            <v>2016</v>
          </cell>
          <cell r="H1">
            <v>2017</v>
          </cell>
          <cell r="I1">
            <v>2018</v>
          </cell>
          <cell r="J1">
            <v>2019</v>
          </cell>
          <cell r="K1">
            <v>2020</v>
          </cell>
          <cell r="L1">
            <v>2021</v>
          </cell>
          <cell r="M1">
            <v>2022</v>
          </cell>
          <cell r="N1">
            <v>2023</v>
          </cell>
          <cell r="O1">
            <v>2024</v>
          </cell>
          <cell r="P1">
            <v>2025</v>
          </cell>
          <cell r="Q1">
            <v>2026</v>
          </cell>
          <cell r="R1">
            <v>2027</v>
          </cell>
          <cell r="S1">
            <v>2028</v>
          </cell>
          <cell r="T1">
            <v>2029</v>
          </cell>
          <cell r="U1">
            <v>2030</v>
          </cell>
        </row>
        <row r="27">
          <cell r="F27">
            <v>34.756566210045662</v>
          </cell>
          <cell r="G27">
            <v>34.756566210045662</v>
          </cell>
          <cell r="H27">
            <v>34.756566210045662</v>
          </cell>
          <cell r="I27">
            <v>59.644236757990861</v>
          </cell>
          <cell r="J27">
            <v>59.644236757990861</v>
          </cell>
          <cell r="K27">
            <v>115.89551278538816</v>
          </cell>
          <cell r="L27">
            <v>288.41773388994062</v>
          </cell>
          <cell r="M27">
            <v>398.09921448354766</v>
          </cell>
          <cell r="N27">
            <v>398.09921448354766</v>
          </cell>
          <cell r="O27">
            <v>449.10065710150809</v>
          </cell>
          <cell r="P27">
            <v>449.10065710150809</v>
          </cell>
          <cell r="Q27">
            <v>462.02271591048833</v>
          </cell>
          <cell r="R27">
            <v>462.02271591048833</v>
          </cell>
          <cell r="S27">
            <v>462.02271591048833</v>
          </cell>
          <cell r="T27">
            <v>462.02271591048833</v>
          </cell>
          <cell r="U27">
            <v>462.02271591048833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Q181"/>
  <sheetViews>
    <sheetView zoomScale="55" zoomScaleNormal="55" workbookViewId="0">
      <pane xSplit="3" ySplit="3" topLeftCell="D72" activePane="bottomRight" state="frozen"/>
      <selection pane="topRight" activeCell="D1" sqref="D1"/>
      <selection pane="bottomLeft" activeCell="A3" sqref="A3"/>
      <selection pane="bottomRight" sqref="A1:XFD1048576"/>
    </sheetView>
  </sheetViews>
  <sheetFormatPr defaultRowHeight="15"/>
  <cols>
    <col min="1" max="1" width="9.140625" style="14"/>
    <col min="2" max="2" width="64.140625" style="15" bestFit="1" customWidth="1"/>
    <col min="3" max="3" width="8" style="16" hidden="1" customWidth="1"/>
    <col min="4" max="4" width="13.42578125" style="17" bestFit="1" customWidth="1"/>
    <col min="5" max="5" width="9.140625" style="17"/>
    <col min="6" max="6" width="26.5703125" style="17" customWidth="1"/>
    <col min="7" max="7" width="10.140625" style="17" bestFit="1" customWidth="1"/>
    <col min="8" max="8" width="11.140625" style="17" bestFit="1" customWidth="1"/>
    <col min="9" max="9" width="23.85546875" style="17" customWidth="1"/>
    <col min="10" max="10" width="10.140625" style="17" bestFit="1" customWidth="1"/>
    <col min="11" max="11" width="11.140625" style="17" bestFit="1" customWidth="1"/>
    <col min="12" max="12" width="23.140625" style="17" customWidth="1"/>
    <col min="13" max="14" width="12.7109375" style="17" bestFit="1" customWidth="1"/>
    <col min="15" max="15" width="21.85546875" style="17" customWidth="1"/>
    <col min="16" max="16" width="11.140625" style="17" bestFit="1" customWidth="1"/>
    <col min="17" max="17" width="12.7109375" style="17" bestFit="1" customWidth="1"/>
    <col min="18" max="18" width="22" style="17" customWidth="1"/>
    <col min="19" max="19" width="10.140625" style="17" bestFit="1" customWidth="1"/>
    <col min="20" max="20" width="12.7109375" style="17" bestFit="1" customWidth="1"/>
    <col min="21" max="21" width="27" style="17" customWidth="1"/>
    <col min="22" max="22" width="9.140625" style="17"/>
    <col min="23" max="23" width="12.7109375" style="17" bestFit="1" customWidth="1"/>
    <col min="24" max="24" width="30.5703125" style="17" customWidth="1"/>
    <col min="25" max="25" width="9.140625" style="17"/>
    <col min="26" max="26" width="12.7109375" style="17" bestFit="1" customWidth="1"/>
    <col min="27" max="27" width="23.7109375" style="17" customWidth="1"/>
    <col min="28" max="28" width="9.140625" style="17"/>
    <col min="29" max="29" width="11.140625" style="17" bestFit="1" customWidth="1"/>
    <col min="30" max="30" width="26.42578125" style="17" customWidth="1"/>
    <col min="31" max="31" width="10.140625" style="17" bestFit="1" customWidth="1"/>
    <col min="32" max="32" width="9.140625" style="17"/>
    <col min="33" max="33" width="29.7109375" style="17" customWidth="1"/>
    <col min="34" max="34" width="9.140625" style="17"/>
    <col min="35" max="35" width="12.7109375" style="17" bestFit="1" customWidth="1"/>
    <col min="36" max="36" width="24" style="17" customWidth="1"/>
    <col min="37" max="37" width="33.85546875" style="18" bestFit="1" customWidth="1"/>
    <col min="38" max="38" width="0" style="15" hidden="1" customWidth="1"/>
    <col min="39" max="40" width="13.85546875" style="15" hidden="1" customWidth="1"/>
    <col min="41" max="41" width="10.140625" style="15" hidden="1" customWidth="1"/>
    <col min="42" max="42" width="109.5703125" style="15" customWidth="1"/>
    <col min="43" max="43" width="41" style="15" customWidth="1"/>
    <col min="44" max="16384" width="9.140625" style="15"/>
  </cols>
  <sheetData>
    <row r="1" spans="1:43" ht="21" thickBot="1">
      <c r="B1" s="52" t="s">
        <v>174</v>
      </c>
    </row>
    <row r="2" spans="1:43">
      <c r="A2" s="280" t="s">
        <v>173</v>
      </c>
      <c r="B2" s="73"/>
      <c r="C2" s="287" t="s">
        <v>23</v>
      </c>
      <c r="D2" s="286">
        <v>2015</v>
      </c>
      <c r="E2" s="286"/>
      <c r="F2" s="286"/>
      <c r="G2" s="286">
        <v>2016</v>
      </c>
      <c r="H2" s="286"/>
      <c r="I2" s="286"/>
      <c r="J2" s="286">
        <v>2017</v>
      </c>
      <c r="K2" s="286"/>
      <c r="L2" s="286"/>
      <c r="M2" s="286">
        <v>2018</v>
      </c>
      <c r="N2" s="286"/>
      <c r="O2" s="286"/>
      <c r="P2" s="286">
        <v>2019</v>
      </c>
      <c r="Q2" s="286"/>
      <c r="R2" s="286"/>
      <c r="S2" s="286">
        <v>2020</v>
      </c>
      <c r="T2" s="286"/>
      <c r="U2" s="286"/>
      <c r="V2" s="286">
        <v>2021</v>
      </c>
      <c r="W2" s="286"/>
      <c r="X2" s="286"/>
      <c r="Y2" s="286">
        <v>2022</v>
      </c>
      <c r="Z2" s="286"/>
      <c r="AA2" s="286"/>
      <c r="AB2" s="286">
        <v>2023</v>
      </c>
      <c r="AC2" s="286"/>
      <c r="AD2" s="286"/>
      <c r="AE2" s="286">
        <v>2024</v>
      </c>
      <c r="AF2" s="286"/>
      <c r="AG2" s="286"/>
      <c r="AH2" s="286">
        <v>2025</v>
      </c>
      <c r="AI2" s="286"/>
      <c r="AJ2" s="286"/>
      <c r="AK2" s="292" t="s">
        <v>21</v>
      </c>
      <c r="AL2" s="73"/>
      <c r="AM2" s="290" t="s">
        <v>22</v>
      </c>
      <c r="AN2" s="290"/>
      <c r="AO2" s="290"/>
      <c r="AP2" s="282" t="s">
        <v>175</v>
      </c>
      <c r="AQ2" s="284" t="s">
        <v>176</v>
      </c>
    </row>
    <row r="3" spans="1:43">
      <c r="A3" s="281"/>
      <c r="B3" s="19"/>
      <c r="C3" s="288"/>
      <c r="D3" s="20" t="s">
        <v>12</v>
      </c>
      <c r="E3" s="20" t="s">
        <v>19</v>
      </c>
      <c r="F3" s="20" t="s">
        <v>20</v>
      </c>
      <c r="G3" s="20" t="s">
        <v>12</v>
      </c>
      <c r="H3" s="20" t="s">
        <v>19</v>
      </c>
      <c r="I3" s="20" t="s">
        <v>20</v>
      </c>
      <c r="J3" s="20" t="s">
        <v>12</v>
      </c>
      <c r="K3" s="20" t="s">
        <v>19</v>
      </c>
      <c r="L3" s="20" t="s">
        <v>20</v>
      </c>
      <c r="M3" s="20" t="s">
        <v>12</v>
      </c>
      <c r="N3" s="20" t="s">
        <v>19</v>
      </c>
      <c r="O3" s="20" t="s">
        <v>20</v>
      </c>
      <c r="P3" s="20" t="s">
        <v>12</v>
      </c>
      <c r="Q3" s="20" t="s">
        <v>19</v>
      </c>
      <c r="R3" s="20" t="s">
        <v>20</v>
      </c>
      <c r="S3" s="20" t="s">
        <v>12</v>
      </c>
      <c r="T3" s="20" t="s">
        <v>19</v>
      </c>
      <c r="U3" s="20" t="s">
        <v>20</v>
      </c>
      <c r="V3" s="20" t="s">
        <v>12</v>
      </c>
      <c r="W3" s="20" t="s">
        <v>19</v>
      </c>
      <c r="X3" s="20" t="s">
        <v>20</v>
      </c>
      <c r="Y3" s="20" t="s">
        <v>12</v>
      </c>
      <c r="Z3" s="20" t="s">
        <v>19</v>
      </c>
      <c r="AA3" s="20" t="s">
        <v>20</v>
      </c>
      <c r="AB3" s="20" t="s">
        <v>12</v>
      </c>
      <c r="AC3" s="20" t="s">
        <v>19</v>
      </c>
      <c r="AD3" s="20" t="s">
        <v>20</v>
      </c>
      <c r="AE3" s="20" t="s">
        <v>12</v>
      </c>
      <c r="AF3" s="20" t="s">
        <v>19</v>
      </c>
      <c r="AG3" s="20" t="s">
        <v>20</v>
      </c>
      <c r="AH3" s="20" t="s">
        <v>12</v>
      </c>
      <c r="AI3" s="20" t="s">
        <v>19</v>
      </c>
      <c r="AJ3" s="20" t="s">
        <v>20</v>
      </c>
      <c r="AK3" s="278"/>
      <c r="AL3" s="19"/>
      <c r="AM3" s="291"/>
      <c r="AN3" s="291"/>
      <c r="AO3" s="291"/>
      <c r="AP3" s="283"/>
      <c r="AQ3" s="285"/>
    </row>
    <row r="4" spans="1:43" s="25" customFormat="1" ht="14.25">
      <c r="A4" s="74">
        <v>1</v>
      </c>
      <c r="B4" s="22" t="s">
        <v>13</v>
      </c>
      <c r="C4" s="22"/>
      <c r="D4" s="23"/>
      <c r="E4" s="23"/>
      <c r="F4" s="23"/>
      <c r="G4" s="24"/>
      <c r="H4" s="23"/>
      <c r="I4" s="23"/>
      <c r="J4" s="24"/>
      <c r="K4" s="23"/>
      <c r="L4" s="23"/>
      <c r="M4" s="24"/>
      <c r="N4" s="23"/>
      <c r="O4" s="23"/>
      <c r="P4" s="24"/>
      <c r="Q4" s="23"/>
      <c r="R4" s="23"/>
      <c r="S4" s="24"/>
      <c r="T4" s="23"/>
      <c r="U4" s="23"/>
      <c r="V4" s="24"/>
      <c r="W4" s="23"/>
      <c r="X4" s="23"/>
      <c r="Y4" s="24"/>
      <c r="Z4" s="23"/>
      <c r="AA4" s="23"/>
      <c r="AB4" s="24"/>
      <c r="AC4" s="23"/>
      <c r="AD4" s="23"/>
      <c r="AE4" s="24"/>
      <c r="AF4" s="23"/>
      <c r="AG4" s="23"/>
      <c r="AH4" s="24"/>
      <c r="AI4" s="23"/>
      <c r="AJ4" s="23"/>
      <c r="AK4" s="58"/>
      <c r="AL4" s="22"/>
      <c r="AM4" s="69">
        <f>SUMIF(C6:C47,1,AM6:AM47)</f>
        <v>2937036.8924246705</v>
      </c>
      <c r="AN4" s="68" t="str">
        <f>IF(ROUND(AM4,5)=ROUND('Свод по цехам_Инвестиции'!R2,5),"","!!!")</f>
        <v>!!!</v>
      </c>
      <c r="AO4" s="22"/>
      <c r="AP4" s="60"/>
      <c r="AQ4" s="75"/>
    </row>
    <row r="5" spans="1:43" s="31" customFormat="1" ht="14.25" hidden="1">
      <c r="A5" s="76"/>
      <c r="B5" s="27" t="s">
        <v>11</v>
      </c>
      <c r="C5" s="28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30"/>
      <c r="AL5" s="27"/>
      <c r="AM5" s="27"/>
      <c r="AN5" s="70"/>
      <c r="AO5" s="27"/>
      <c r="AP5" s="61"/>
      <c r="AQ5" s="77"/>
    </row>
    <row r="6" spans="1:43" ht="192" customHeight="1">
      <c r="A6" s="78">
        <f>A4+1</f>
        <v>2</v>
      </c>
      <c r="B6" s="19" t="str">
        <f>'[1]1 цех_CapEx'!$B8</f>
        <v>ПС 110/35кВ 2х25000 кВА "Мухановская"</v>
      </c>
      <c r="C6" s="32">
        <f>'[1]1 цех_CapEx'!$W8</f>
        <v>1</v>
      </c>
      <c r="D6" s="20">
        <f>IF(D$2='[1]1 цех result'!$C8,'[1]1 цех_CapEx'!F8,0)</f>
        <v>8481.7318800000012</v>
      </c>
      <c r="E6" s="20">
        <f>IF(D$2&gt;='[1]1 цех result'!$D8,'[1]1 цех_CapEx'!F8,0)</f>
        <v>0</v>
      </c>
      <c r="F6" s="20" t="str">
        <f>IF(D$2&gt;='[1]1 цех result'!$C8,$AK6,"")</f>
        <v xml:space="preserve">Замена ОД-КЗ на ЭВ - 2 шт; разъединители 110 кВ -4 шт. 1000 А. </v>
      </c>
      <c r="G6" s="20">
        <f>IF(G$2='[1]1 цех result'!$C8,'[1]1 цех_CapEx'!G8,0)</f>
        <v>0</v>
      </c>
      <c r="H6" s="20">
        <f>IF(G$2&gt;='[1]1 цех result'!$D8,'[1]1 цех_CapEx'!G8,0)</f>
        <v>0</v>
      </c>
      <c r="I6" s="20" t="str">
        <f>IF(G$2&gt;='[1]1 цех result'!$C8,$AK6,"")</f>
        <v xml:space="preserve">Замена ОД-КЗ на ЭВ - 2 шт; разъединители 110 кВ -4 шт. 1000 А. </v>
      </c>
      <c r="J6" s="20">
        <f>IF(J$2='[1]1 цех result'!$C8,'[1]1 цех_CapEx'!H8,0)</f>
        <v>0</v>
      </c>
      <c r="K6" s="20">
        <f>IF(J$2&gt;='[1]1 цех result'!$D8,'[1]1 цех_CapEx'!H8,0)</f>
        <v>153952.65043730958</v>
      </c>
      <c r="L6" s="20" t="str">
        <f>IF(J$2&gt;='[1]1 цех result'!$C8,$AK6,"")</f>
        <v xml:space="preserve">Замена ОД-КЗ на ЭВ - 2 шт; разъединители 110 кВ -4 шт. 1000 А. </v>
      </c>
      <c r="M6" s="20">
        <f>IF(M$2='[1]1 цех result'!$C8,'[1]1 цех_CapEx'!I8,0)</f>
        <v>0</v>
      </c>
      <c r="N6" s="20">
        <f>IF(M$2&gt;='[1]1 цех result'!$D8,'[1]1 цех_CapEx'!I8,0)</f>
        <v>0</v>
      </c>
      <c r="O6" s="20" t="str">
        <f>IF(M$2&gt;='[1]1 цех result'!$C8,$AK6,"")</f>
        <v xml:space="preserve">Замена ОД-КЗ на ЭВ - 2 шт; разъединители 110 кВ -4 шт. 1000 А. </v>
      </c>
      <c r="P6" s="20">
        <f>IF(P$2='[1]1 цех result'!$C8,'[1]1 цех_CapEx'!J8,0)</f>
        <v>0</v>
      </c>
      <c r="Q6" s="20">
        <f>IF(P$2&gt;='[1]1 цех result'!$D8,'[1]1 цех_CapEx'!J8,0)</f>
        <v>0</v>
      </c>
      <c r="R6" s="20" t="str">
        <f>IF(P$2&gt;='[1]1 цех result'!$C8,$AK6,"")</f>
        <v xml:space="preserve">Замена ОД-КЗ на ЭВ - 2 шт; разъединители 110 кВ -4 шт. 1000 А. </v>
      </c>
      <c r="S6" s="20">
        <f>IF(S$2='[1]1 цех result'!$C8,'[1]1 цех_CapEx'!K8,0)</f>
        <v>0</v>
      </c>
      <c r="T6" s="20">
        <f>IF(S$2&gt;='[1]1 цех result'!$D8,'[1]1 цех_CapEx'!K8,0)</f>
        <v>0</v>
      </c>
      <c r="U6" s="20" t="str">
        <f>IF(S$2&gt;='[1]1 цех result'!$C8,$AK6,"")</f>
        <v xml:space="preserve">Замена ОД-КЗ на ЭВ - 2 шт; разъединители 110 кВ -4 шт. 1000 А. </v>
      </c>
      <c r="V6" s="20">
        <f>IF(V$2='[1]1 цех result'!$C8,'[1]1 цех_CapEx'!L8,0)</f>
        <v>0</v>
      </c>
      <c r="W6" s="20">
        <f>IF(V$2&gt;='[1]1 цех result'!$D8,'[1]1 цех_CapEx'!L8,0)</f>
        <v>0</v>
      </c>
      <c r="X6" s="20" t="str">
        <f>IF(V$2&gt;='[1]1 цех result'!$C8,$AK6,"")</f>
        <v xml:space="preserve">Замена ОД-КЗ на ЭВ - 2 шт; разъединители 110 кВ -4 шт. 1000 А. </v>
      </c>
      <c r="Y6" s="20">
        <f>IF(Y$2='[1]1 цех result'!$C8,'[1]1 цех_CapEx'!M8,0)</f>
        <v>0</v>
      </c>
      <c r="Z6" s="20">
        <f>IF(Y$2&gt;='[1]1 цех result'!$D8,'[1]1 цех_CapEx'!M8,0)</f>
        <v>0</v>
      </c>
      <c r="AA6" s="20" t="str">
        <f>IF(Y$2&gt;='[1]1 цех result'!$C8,$AK6,"")</f>
        <v xml:space="preserve">Замена ОД-КЗ на ЭВ - 2 шт; разъединители 110 кВ -4 шт. 1000 А. </v>
      </c>
      <c r="AB6" s="20">
        <f>IF(AB$2='[1]1 цех result'!$C8,'[1]1 цех_CapEx'!N8,0)</f>
        <v>0</v>
      </c>
      <c r="AC6" s="20">
        <f>IF(AB$2&gt;='[1]1 цех result'!$D8,'[1]1 цех_CapEx'!N8,0)</f>
        <v>0</v>
      </c>
      <c r="AD6" s="20" t="str">
        <f>IF(AB$2&gt;='[1]1 цех result'!$C8,$AK6,"")</f>
        <v xml:space="preserve">Замена ОД-КЗ на ЭВ - 2 шт; разъединители 110 кВ -4 шт. 1000 А. </v>
      </c>
      <c r="AE6" s="20">
        <f>IF(AE$2='[1]1 цех result'!$C8,'[1]1 цех_CapEx'!O8,0)</f>
        <v>0</v>
      </c>
      <c r="AF6" s="20">
        <f>IF(AE$2&gt;='[1]1 цех result'!$D8,'[1]1 цех_CapEx'!O8,0)</f>
        <v>0</v>
      </c>
      <c r="AG6" s="20" t="str">
        <f>IF(AE$2&gt;='[1]1 цех result'!$C8,$AK6,"")</f>
        <v xml:space="preserve">Замена ОД-КЗ на ЭВ - 2 шт; разъединители 110 кВ -4 шт. 1000 А. </v>
      </c>
      <c r="AH6" s="20">
        <f>IF(AH$2='[1]1 цех result'!$C8,'[1]1 цех_CapEx'!P8,0)</f>
        <v>0</v>
      </c>
      <c r="AI6" s="20">
        <f>IF(AH$2&gt;='[1]1 цех result'!$D8,'[1]1 цех_CapEx'!P8,0)</f>
        <v>0</v>
      </c>
      <c r="AJ6" s="20" t="str">
        <f>IF(AH$2&gt;='[1]1 цех result'!$C8,$AK6,"")</f>
        <v xml:space="preserve">Замена ОД-КЗ на ЭВ - 2 шт; разъединители 110 кВ -4 шт. 1000 А. </v>
      </c>
      <c r="AK6" s="12" t="s">
        <v>40</v>
      </c>
      <c r="AL6" s="19"/>
      <c r="AM6" s="71">
        <f t="shared" ref="AM6:AM25" si="0">SUM(D6:AJ6)</f>
        <v>162434.38231730959</v>
      </c>
      <c r="AN6" s="71">
        <f>'[1]1 цех_CapEx'!$V8</f>
        <v>162434.38231730959</v>
      </c>
      <c r="AO6" s="71">
        <f>AM6-AN6</f>
        <v>0</v>
      </c>
      <c r="AP6" s="278" t="s">
        <v>177</v>
      </c>
      <c r="AQ6" s="277" t="s">
        <v>178</v>
      </c>
    </row>
    <row r="7" spans="1:43" ht="45">
      <c r="A7" s="78">
        <v>3</v>
      </c>
      <c r="B7" s="67" t="str">
        <f>'[1]1 цех_CapEx'!$B9</f>
        <v>ПС 110/35кВ 2х25000 кВА "Мухановская" - 2-я сш</v>
      </c>
      <c r="C7" s="32">
        <f>'[1]1 цех_CapEx'!$W9</f>
        <v>1</v>
      </c>
      <c r="D7" s="20">
        <f>IF(D$2='[1]1 цех result'!$C9,'[1]1 цех_CapEx'!F9,0)</f>
        <v>0</v>
      </c>
      <c r="E7" s="20">
        <f>IF(D$2&gt;='[1]1 цех result'!$D9,'[1]1 цех_CapEx'!F9,0)</f>
        <v>0</v>
      </c>
      <c r="F7" s="20" t="str">
        <f>IF(D$2&gt;='[1]1 цех result'!$C9,$AK7,"")</f>
        <v/>
      </c>
      <c r="G7" s="20">
        <f>IF(G$2='[1]1 цех result'!$C9,'[1]1 цех_CapEx'!G9,0)</f>
        <v>0</v>
      </c>
      <c r="H7" s="20">
        <f>IF(G$2&gt;='[1]1 цех result'!$D9,'[1]1 цех_CapEx'!G9,0)</f>
        <v>0</v>
      </c>
      <c r="I7" s="20" t="str">
        <f>IF(G$2&gt;='[1]1 цех result'!$C9,$AK7,"")</f>
        <v/>
      </c>
      <c r="J7" s="20">
        <f>IF(J$2='[1]1 цех result'!$C9,'[1]1 цех_CapEx'!H9,0)</f>
        <v>0</v>
      </c>
      <c r="K7" s="20">
        <f>IF(J$2&gt;='[1]1 цех result'!$D9,'[1]1 цех_CapEx'!H9,0)</f>
        <v>0</v>
      </c>
      <c r="L7" s="20" t="str">
        <f>IF(J$2&gt;='[1]1 цех result'!$C9,$AK7,"")</f>
        <v/>
      </c>
      <c r="M7" s="20">
        <f>IF(M$2='[1]1 цех result'!$C9,'[1]1 цех_CapEx'!I9,0)</f>
        <v>4316.323455901781</v>
      </c>
      <c r="N7" s="20">
        <f>IF(M$2&gt;='[1]1 цех result'!$D9,'[1]1 цех_CapEx'!I9,0)</f>
        <v>0</v>
      </c>
      <c r="O7" s="20" t="str">
        <f>IF(M$2&gt;='[1]1 цех result'!$C9,$AK7,"")</f>
        <v xml:space="preserve">строительство 2-й сш. 6 кВ, и замена ЗРУ-6 кВ 47 ячеек. </v>
      </c>
      <c r="P7" s="20">
        <f>IF(P$2='[1]1 цех result'!$C9,'[1]1 цех_CapEx'!J9,0)</f>
        <v>0</v>
      </c>
      <c r="Q7" s="20">
        <f>IF(P$2&gt;='[1]1 цех result'!$D9,'[1]1 цех_CapEx'!J9,0)</f>
        <v>0</v>
      </c>
      <c r="R7" s="20" t="str">
        <f>IF(P$2&gt;='[1]1 цех result'!$C9,$AK7,"")</f>
        <v xml:space="preserve">строительство 2-й сш. 6 кВ, и замена ЗРУ-6 кВ 47 ячеек. </v>
      </c>
      <c r="S7" s="20">
        <f>IF(S$2='[1]1 цех result'!$C9,'[1]1 цех_CapEx'!K9,0)</f>
        <v>0</v>
      </c>
      <c r="T7" s="20">
        <f>IF(S$2&gt;='[1]1 цех result'!$D9,'[1]1 цех_CapEx'!K9,0)</f>
        <v>156365.68014433692</v>
      </c>
      <c r="U7" s="20" t="str">
        <f>IF(S$2&gt;='[1]1 цех result'!$C9,$AK7,"")</f>
        <v xml:space="preserve">строительство 2-й сш. 6 кВ, и замена ЗРУ-6 кВ 47 ячеек. </v>
      </c>
      <c r="V7" s="20">
        <f>IF(V$2='[1]1 цех result'!$C9,'[1]1 цех_CapEx'!L9,0)</f>
        <v>0</v>
      </c>
      <c r="W7" s="20">
        <f>IF(V$2&gt;='[1]1 цех result'!$D9,'[1]1 цех_CapEx'!L9,0)</f>
        <v>0</v>
      </c>
      <c r="X7" s="20" t="str">
        <f>IF(V$2&gt;='[1]1 цех result'!$C9,$AK7,"")</f>
        <v xml:space="preserve">строительство 2-й сш. 6 кВ, и замена ЗРУ-6 кВ 47 ячеек. </v>
      </c>
      <c r="Y7" s="20">
        <f>IF(Y$2='[1]1 цех result'!$C9,'[1]1 цех_CapEx'!M9,0)</f>
        <v>0</v>
      </c>
      <c r="Z7" s="20">
        <f>IF(Y$2&gt;='[1]1 цех result'!$D9,'[1]1 цех_CapEx'!M9,0)</f>
        <v>0</v>
      </c>
      <c r="AA7" s="20" t="str">
        <f>IF(Y$2&gt;='[1]1 цех result'!$C9,$AK7,"")</f>
        <v xml:space="preserve">строительство 2-й сш. 6 кВ, и замена ЗРУ-6 кВ 47 ячеек. </v>
      </c>
      <c r="AB7" s="20">
        <f>IF(AB$2='[1]1 цех result'!$C9,'[1]1 цех_CapEx'!N9,0)</f>
        <v>0</v>
      </c>
      <c r="AC7" s="20">
        <f>IF(AB$2&gt;='[1]1 цех result'!$D9,'[1]1 цех_CapEx'!N9,0)</f>
        <v>0</v>
      </c>
      <c r="AD7" s="20" t="str">
        <f>IF(AB$2&gt;='[1]1 цех result'!$C9,$AK7,"")</f>
        <v xml:space="preserve">строительство 2-й сш. 6 кВ, и замена ЗРУ-6 кВ 47 ячеек. </v>
      </c>
      <c r="AE7" s="20">
        <f>IF(AE$2='[1]1 цех result'!$C9,'[1]1 цех_CapEx'!O9,0)</f>
        <v>0</v>
      </c>
      <c r="AF7" s="20">
        <f>IF(AE$2&gt;='[1]1 цех result'!$D9,'[1]1 цех_CapEx'!O9,0)</f>
        <v>0</v>
      </c>
      <c r="AG7" s="20" t="str">
        <f>IF(AE$2&gt;='[1]1 цех result'!$C9,$AK7,"")</f>
        <v xml:space="preserve">строительство 2-й сш. 6 кВ, и замена ЗРУ-6 кВ 47 ячеек. </v>
      </c>
      <c r="AH7" s="20">
        <f>IF(AH$2='[1]1 цех result'!$C9,'[1]1 цех_CapEx'!P9,0)</f>
        <v>0</v>
      </c>
      <c r="AI7" s="20">
        <f>IF(AH$2&gt;='[1]1 цех result'!$D9,'[1]1 цех_CapEx'!P9,0)</f>
        <v>0</v>
      </c>
      <c r="AJ7" s="20" t="str">
        <f>IF(AH$2&gt;='[1]1 цех result'!$C9,$AK7,"")</f>
        <v xml:space="preserve">строительство 2-й сш. 6 кВ, и замена ЗРУ-6 кВ 47 ячеек. </v>
      </c>
      <c r="AK7" s="12" t="s">
        <v>41</v>
      </c>
      <c r="AL7" s="19"/>
      <c r="AM7" s="71">
        <f t="shared" si="0"/>
        <v>160682.00360023871</v>
      </c>
      <c r="AN7" s="71">
        <f>'[1]1 цех_CapEx'!$V9</f>
        <v>160682.00360023871</v>
      </c>
      <c r="AO7" s="71">
        <f t="shared" ref="AO7:AO47" si="1">AM7-AN7</f>
        <v>0</v>
      </c>
      <c r="AP7" s="278"/>
      <c r="AQ7" s="277"/>
    </row>
    <row r="8" spans="1:43" ht="45">
      <c r="A8" s="78">
        <v>4</v>
      </c>
      <c r="B8" s="67" t="str">
        <f>'[1]1 цех_CapEx'!$B10</f>
        <v>ПС 110/35кВ 2х25000 кВА "Мухановская" - АПВ</v>
      </c>
      <c r="C8" s="32">
        <f>'[1]1 цех_CapEx'!$W10</f>
        <v>1</v>
      </c>
      <c r="D8" s="20">
        <f>IF(D$2='[1]1 цех result'!$C10,'[1]1 цех_CapEx'!F10,0)</f>
        <v>0</v>
      </c>
      <c r="E8" s="20">
        <f>IF(D$2&gt;='[1]1 цех result'!$D10,'[1]1 цех_CapEx'!F10,0)</f>
        <v>0</v>
      </c>
      <c r="F8" s="20" t="str">
        <f>IF(D$2&gt;='[1]1 цех result'!$C10,$AK8,"")</f>
        <v/>
      </c>
      <c r="G8" s="20">
        <f>IF(G$2='[1]1 цех result'!$C10,'[1]1 цех_CapEx'!G10,0)</f>
        <v>0</v>
      </c>
      <c r="H8" s="20">
        <f>IF(G$2&gt;='[1]1 цех result'!$D10,'[1]1 цех_CapEx'!G10,0)</f>
        <v>0</v>
      </c>
      <c r="I8" s="20" t="str">
        <f>IF(G$2&gt;='[1]1 цех result'!$C10,$AK8,"")</f>
        <v/>
      </c>
      <c r="J8" s="20">
        <f>IF(J$2='[1]1 цех result'!$C10,'[1]1 цех_CapEx'!H10,0)</f>
        <v>0</v>
      </c>
      <c r="K8" s="20">
        <f>IF(J$2&gt;='[1]1 цех result'!$D10,'[1]1 цех_CapEx'!H10,0)</f>
        <v>0</v>
      </c>
      <c r="L8" s="20" t="str">
        <f>IF(J$2&gt;='[1]1 цех result'!$C10,$AK8,"")</f>
        <v/>
      </c>
      <c r="M8" s="20">
        <f>IF(M$2='[1]1 цех result'!$C10,'[1]1 цех_CapEx'!I10,0)</f>
        <v>0</v>
      </c>
      <c r="N8" s="20">
        <f>IF(M$2&gt;='[1]1 цех result'!$D10,'[1]1 цех_CapEx'!I10,0)</f>
        <v>0</v>
      </c>
      <c r="O8" s="20" t="str">
        <f>IF(M$2&gt;='[1]1 цех result'!$C10,$AK8,"")</f>
        <v/>
      </c>
      <c r="P8" s="20">
        <f>IF(P$2='[1]1 цех result'!$C10,'[1]1 цех_CapEx'!J10,0)</f>
        <v>0</v>
      </c>
      <c r="Q8" s="20">
        <f>IF(P$2&gt;='[1]1 цех result'!$D10,'[1]1 цех_CapEx'!J10,0)</f>
        <v>0</v>
      </c>
      <c r="R8" s="20" t="str">
        <f>IF(P$2&gt;='[1]1 цех result'!$C10,$AK8,"")</f>
        <v/>
      </c>
      <c r="S8" s="20">
        <f>IF(S$2='[1]1 цех result'!$C10,'[1]1 цех_CapEx'!K10,0)</f>
        <v>0</v>
      </c>
      <c r="T8" s="20">
        <f>IF(S$2&gt;='[1]1 цех result'!$D10,'[1]1 цех_CapEx'!K10,0)</f>
        <v>0</v>
      </c>
      <c r="U8" s="20" t="str">
        <f>IF(S$2&gt;='[1]1 цех result'!$C10,$AK8,"")</f>
        <v/>
      </c>
      <c r="V8" s="20">
        <f>IF(V$2='[1]1 цех result'!$C10,'[1]1 цех_CapEx'!L10,0)</f>
        <v>247.13407786190768</v>
      </c>
      <c r="W8" s="20">
        <f>IF(V$2&gt;='[1]1 цех result'!$D10,'[1]1 цех_CapEx'!L10,0)</f>
        <v>0</v>
      </c>
      <c r="X8" s="20" t="str">
        <f>IF(V$2&gt;='[1]1 цех result'!$C10,$AK8,"")</f>
        <v xml:space="preserve">Оборудование устройствами автоматики АПВ линии </v>
      </c>
      <c r="Y8" s="20">
        <f>IF(Y$2='[1]1 цех result'!$C10,'[1]1 цех_CapEx'!M10,0)</f>
        <v>0</v>
      </c>
      <c r="Z8" s="20">
        <f>IF(Y$2&gt;='[1]1 цех result'!$D10,'[1]1 цех_CapEx'!M10,0)</f>
        <v>8150.4818878857159</v>
      </c>
      <c r="AA8" s="20" t="str">
        <f>IF(Y$2&gt;='[1]1 цех result'!$C10,$AK8,"")</f>
        <v xml:space="preserve">Оборудование устройствами автоматики АПВ линии </v>
      </c>
      <c r="AB8" s="20">
        <f>IF(AB$2='[1]1 цех result'!$C10,'[1]1 цех_CapEx'!N10,0)</f>
        <v>0</v>
      </c>
      <c r="AC8" s="20">
        <f>IF(AB$2&gt;='[1]1 цех result'!$D10,'[1]1 цех_CapEx'!N10,0)</f>
        <v>0</v>
      </c>
      <c r="AD8" s="20" t="str">
        <f>IF(AB$2&gt;='[1]1 цех result'!$C10,$AK8,"")</f>
        <v xml:space="preserve">Оборудование устройствами автоматики АПВ линии </v>
      </c>
      <c r="AE8" s="20">
        <f>IF(AE$2='[1]1 цех result'!$C10,'[1]1 цех_CapEx'!O10,0)</f>
        <v>0</v>
      </c>
      <c r="AF8" s="20">
        <f>IF(AE$2&gt;='[1]1 цех result'!$D10,'[1]1 цех_CapEx'!O10,0)</f>
        <v>0</v>
      </c>
      <c r="AG8" s="20" t="str">
        <f>IF(AE$2&gt;='[1]1 цех result'!$C10,$AK8,"")</f>
        <v xml:space="preserve">Оборудование устройствами автоматики АПВ линии </v>
      </c>
      <c r="AH8" s="20">
        <f>IF(AH$2='[1]1 цех result'!$C10,'[1]1 цех_CapEx'!P10,0)</f>
        <v>0</v>
      </c>
      <c r="AI8" s="20">
        <f>IF(AH$2&gt;='[1]1 цех result'!$D10,'[1]1 цех_CapEx'!P10,0)</f>
        <v>0</v>
      </c>
      <c r="AJ8" s="20" t="str">
        <f>IF(AH$2&gt;='[1]1 цех result'!$C10,$AK8,"")</f>
        <v xml:space="preserve">Оборудование устройствами автоматики АПВ линии </v>
      </c>
      <c r="AK8" s="12" t="s">
        <v>42</v>
      </c>
      <c r="AL8" s="19"/>
      <c r="AM8" s="71">
        <f t="shared" si="0"/>
        <v>8397.6159657476237</v>
      </c>
      <c r="AN8" s="71">
        <f>'[1]1 цех_CapEx'!$V10</f>
        <v>8397.6159657476237</v>
      </c>
      <c r="AO8" s="71">
        <f t="shared" si="1"/>
        <v>0</v>
      </c>
      <c r="AP8" s="278"/>
      <c r="AQ8" s="277"/>
    </row>
    <row r="9" spans="1:43" s="37" customFormat="1" ht="94.5" customHeight="1">
      <c r="A9" s="78">
        <v>5</v>
      </c>
      <c r="B9" s="34" t="str">
        <f>'[1]1 цех_CapEx'!$B11</f>
        <v>ПС 110/35/6 кВ 2х16000 кВА "Лугань"</v>
      </c>
      <c r="C9" s="35">
        <f>'[1]1 цех_CapEx'!$W11</f>
        <v>1</v>
      </c>
      <c r="D9" s="36">
        <f>IF(D$2='[1]1 цех result'!$C11,'[1]1 цех_CapEx'!F11,0)</f>
        <v>0</v>
      </c>
      <c r="E9" s="36">
        <f>IF(D$2&gt;='[1]1 цех result'!$D11,'[1]1 цех_CapEx'!F11,0)</f>
        <v>0</v>
      </c>
      <c r="F9" s="36" t="str">
        <f>IF(D$2&gt;='[1]1 цех result'!$C11,$AK9,"")</f>
        <v/>
      </c>
      <c r="G9" s="36">
        <f>IF(G$2='[1]1 цех result'!$C11,'[1]1 цех_CapEx'!G11,0)</f>
        <v>0</v>
      </c>
      <c r="H9" s="36">
        <f>IF(G$2&gt;='[1]1 цех result'!$D11,'[1]1 цех_CapEx'!G11,0)</f>
        <v>0</v>
      </c>
      <c r="I9" s="36" t="str">
        <f>IF(G$2&gt;='[1]1 цех result'!$C11,$AK9,"")</f>
        <v/>
      </c>
      <c r="J9" s="36">
        <f>IF(J$2='[1]1 цех result'!$C11,'[1]1 цех_CapEx'!H11,0)</f>
        <v>0</v>
      </c>
      <c r="K9" s="36">
        <f>IF(J$2&gt;='[1]1 цех result'!$D11,'[1]1 цех_CapEx'!H11,0)</f>
        <v>0</v>
      </c>
      <c r="L9" s="36" t="str">
        <f>IF(J$2&gt;='[1]1 цех result'!$C11,$AK9,"")</f>
        <v/>
      </c>
      <c r="M9" s="36">
        <f>IF(M$2='[1]1 цех result'!$C11,'[1]1 цех_CapEx'!I11,0)</f>
        <v>0</v>
      </c>
      <c r="N9" s="36">
        <f>IF(M$2&gt;='[1]1 цех result'!$D11,'[1]1 цех_CapEx'!I11,0)</f>
        <v>0</v>
      </c>
      <c r="O9" s="36" t="str">
        <f>IF(M$2&gt;='[1]1 цех result'!$C11,$AK9,"")</f>
        <v/>
      </c>
      <c r="P9" s="36">
        <f>IF(P$2='[1]1 цех result'!$C11,'[1]1 цех_CapEx'!J11,0)</f>
        <v>0</v>
      </c>
      <c r="Q9" s="36">
        <f>IF(P$2&gt;='[1]1 цех result'!$D11,'[1]1 цех_CapEx'!J11,0)</f>
        <v>0</v>
      </c>
      <c r="R9" s="36" t="str">
        <f>IF(P$2&gt;='[1]1 цех result'!$C11,$AK9,"")</f>
        <v/>
      </c>
      <c r="S9" s="36">
        <f>IF(S$2='[1]1 цех result'!$C11,'[1]1 цех_CapEx'!K11,0)</f>
        <v>0</v>
      </c>
      <c r="T9" s="36">
        <f>IF(S$2&gt;='[1]1 цех result'!$D11,'[1]1 цех_CapEx'!K11,0)</f>
        <v>0</v>
      </c>
      <c r="U9" s="36" t="str">
        <f>IF(S$2&gt;='[1]1 цех result'!$C11,$AK9,"")</f>
        <v/>
      </c>
      <c r="V9" s="36">
        <f>IF(V$2='[1]1 цех result'!$C11,'[1]1 цех_CapEx'!L11,0)</f>
        <v>0</v>
      </c>
      <c r="W9" s="36">
        <f>IF(V$2&gt;='[1]1 цех result'!$D11,'[1]1 цех_CapEx'!L11,0)</f>
        <v>0</v>
      </c>
      <c r="X9" s="36" t="str">
        <f>IF(V$2&gt;='[1]1 цех result'!$C11,$AK9,"")</f>
        <v/>
      </c>
      <c r="Y9" s="36">
        <f>IF(Y$2='[1]1 цех result'!$C11,'[1]1 цех_CapEx'!M11,0)</f>
        <v>0</v>
      </c>
      <c r="Z9" s="36">
        <f>IF(Y$2&gt;='[1]1 цех result'!$D11,'[1]1 цех_CapEx'!M11,0)</f>
        <v>0</v>
      </c>
      <c r="AA9" s="36" t="str">
        <f>IF(Y$2&gt;='[1]1 цех result'!$C11,$AK9,"")</f>
        <v/>
      </c>
      <c r="AB9" s="36">
        <f>IF(AB$2='[1]1 цех result'!$C11,'[1]1 цех_CapEx'!N11,0)</f>
        <v>0</v>
      </c>
      <c r="AC9" s="36">
        <f>IF(AB$2&gt;='[1]1 цех result'!$D11,'[1]1 цех_CapEx'!N11,0)</f>
        <v>0</v>
      </c>
      <c r="AD9" s="36" t="str">
        <f>IF(AB$2&gt;='[1]1 цех result'!$C11,$AK9,"")</f>
        <v/>
      </c>
      <c r="AE9" s="36">
        <f>IF(AE$2='[1]1 цех result'!$C11,'[1]1 цех_CapEx'!O11,0)</f>
        <v>13158.945995738244</v>
      </c>
      <c r="AF9" s="36">
        <f>IF(AE$2&gt;='[1]1 цех result'!$D11,'[1]1 цех_CapEx'!O11,0)</f>
        <v>0</v>
      </c>
      <c r="AG9" s="36" t="str">
        <f>IF(AE$2&gt;='[1]1 цех result'!$C11,$AK9,"")</f>
        <v xml:space="preserve"> Замена:
  систем ОД-КЗ на элегазовые выключатели - 2 шт.
разъединителей 110 кВ -6 шт., 1000 А.
ТОЛ-110, ОПН-110 кВ. </v>
      </c>
      <c r="AH9" s="36">
        <f>IF(AH$2='[1]1 цех result'!$C11,'[1]1 цех_CapEx'!P11,0)</f>
        <v>0</v>
      </c>
      <c r="AI9" s="36">
        <f>IF(AH$2&gt;='[1]1 цех result'!$D11,'[1]1 цех_CapEx'!P11,0)</f>
        <v>213990.77978269529</v>
      </c>
      <c r="AJ9" s="36" t="str">
        <f>IF(AH$2&gt;='[1]1 цех result'!$C11,$AK9,"")</f>
        <v xml:space="preserve"> Замена:
  систем ОД-КЗ на элегазовые выключатели - 2 шт.
разъединителей 110 кВ -6 шт., 1000 А.
ТОЛ-110, ОПН-110 кВ. </v>
      </c>
      <c r="AK9" s="12" t="s">
        <v>43</v>
      </c>
      <c r="AL9" s="34"/>
      <c r="AM9" s="72">
        <f t="shared" si="0"/>
        <v>227149.72577843352</v>
      </c>
      <c r="AN9" s="72">
        <f>'[1]1 цех_CapEx'!$V11</f>
        <v>227149.72577843352</v>
      </c>
      <c r="AO9" s="72">
        <f t="shared" si="1"/>
        <v>0</v>
      </c>
      <c r="AP9" s="278" t="s">
        <v>179</v>
      </c>
      <c r="AQ9" s="277" t="s">
        <v>178</v>
      </c>
    </row>
    <row r="10" spans="1:43" s="37" customFormat="1" ht="90">
      <c r="A10" s="78">
        <v>6</v>
      </c>
      <c r="B10" s="34" t="str">
        <f>'[1]1 цех_CapEx'!$B12</f>
        <v>ПС 110/35/6 кВ 2х16000 кВА "Лугань"</v>
      </c>
      <c r="C10" s="35">
        <f>'[1]1 цех_CapEx'!$W12</f>
        <v>1</v>
      </c>
      <c r="D10" s="36">
        <f>IF(D$2='[1]1 цех result'!$C12,'[1]1 цех_CapEx'!F12,0)</f>
        <v>8618.0890799999997</v>
      </c>
      <c r="E10" s="36">
        <f>IF(D$2&gt;='[1]1 цех result'!$D12,'[1]1 цех_CapEx'!F12,0)</f>
        <v>0</v>
      </c>
      <c r="F10" s="36" t="str">
        <f>IF(D$2&gt;='[1]1 цех result'!$C12,$AK10,"")</f>
        <v>Установка БСК
 1,2 Мвар на I СШ 6 кВ, и 0,75 Мвар на II СШ 6 кВ.
Замена Т-1-Т, Т-2-Т 2х16000 кВА</v>
      </c>
      <c r="G10" s="36">
        <f>IF(G$2='[1]1 цех result'!$C12,'[1]1 цех_CapEx'!G12,0)</f>
        <v>0</v>
      </c>
      <c r="H10" s="36">
        <f>IF(G$2&gt;='[1]1 цех result'!$D12,'[1]1 цех_CapEx'!G12,0)</f>
        <v>0</v>
      </c>
      <c r="I10" s="36" t="str">
        <f>IF(G$2&gt;='[1]1 цех result'!$C12,$AK10,"")</f>
        <v>Установка БСК
 1,2 Мвар на I СШ 6 кВ, и 0,75 Мвар на II СШ 6 кВ.
Замена Т-1-Т, Т-2-Т 2х16000 кВА</v>
      </c>
      <c r="J10" s="36">
        <f>IF(J$2='[1]1 цех result'!$C12,'[1]1 цех_CapEx'!H12,0)</f>
        <v>0</v>
      </c>
      <c r="K10" s="36">
        <f>IF(J$2&gt;='[1]1 цех result'!$D12,'[1]1 цех_CapEx'!H12,0)</f>
        <v>0</v>
      </c>
      <c r="L10" s="36" t="str">
        <f>IF(J$2&gt;='[1]1 цех result'!$C12,$AK10,"")</f>
        <v>Установка БСК
 1,2 Мвар на I СШ 6 кВ, и 0,75 Мвар на II СШ 6 кВ.
Замена Т-1-Т, Т-2-Т 2х16000 кВА</v>
      </c>
      <c r="M10" s="36">
        <f>IF(M$2='[1]1 цех result'!$C12,'[1]1 цех_CapEx'!I12,0)</f>
        <v>0</v>
      </c>
      <c r="N10" s="36">
        <f>IF(M$2&gt;='[1]1 цех result'!$D12,'[1]1 цех_CapEx'!I12,0)</f>
        <v>0</v>
      </c>
      <c r="O10" s="36" t="str">
        <f>IF(M$2&gt;='[1]1 цех result'!$C12,$AK10,"")</f>
        <v>Установка БСК
 1,2 Мвар на I СШ 6 кВ, и 0,75 Мвар на II СШ 6 кВ.
Замена Т-1-Т, Т-2-Т 2х16000 кВА</v>
      </c>
      <c r="P10" s="36">
        <f>IF(P$2='[1]1 цех result'!$C12,'[1]1 цех_CapEx'!J12,0)</f>
        <v>0</v>
      </c>
      <c r="Q10" s="36">
        <f>IF(P$2&gt;='[1]1 цех result'!$D12,'[1]1 цех_CapEx'!J12,0)</f>
        <v>0</v>
      </c>
      <c r="R10" s="36" t="str">
        <f>IF(P$2&gt;='[1]1 цех result'!$C12,$AK10,"")</f>
        <v>Установка БСК
 1,2 Мвар на I СШ 6 кВ, и 0,75 Мвар на II СШ 6 кВ.
Замена Т-1-Т, Т-2-Т 2х16000 кВА</v>
      </c>
      <c r="S10" s="36">
        <f>IF(S$2='[1]1 цех result'!$C12,'[1]1 цех_CapEx'!K12,0)</f>
        <v>0</v>
      </c>
      <c r="T10" s="36">
        <f>IF(S$2&gt;='[1]1 цех result'!$D12,'[1]1 цех_CapEx'!K12,0)</f>
        <v>0</v>
      </c>
      <c r="U10" s="36" t="str">
        <f>IF(S$2&gt;='[1]1 цех result'!$C12,$AK10,"")</f>
        <v>Установка БСК
 1,2 Мвар на I СШ 6 кВ, и 0,75 Мвар на II СШ 6 кВ.
Замена Т-1-Т, Т-2-Т 2х16000 кВА</v>
      </c>
      <c r="V10" s="36">
        <f>IF(V$2='[1]1 цех result'!$C12,'[1]1 цех_CapEx'!L12,0)</f>
        <v>0</v>
      </c>
      <c r="W10" s="36">
        <f>IF(V$2&gt;='[1]1 цех result'!$D12,'[1]1 цех_CapEx'!L12,0)</f>
        <v>202017.49218289921</v>
      </c>
      <c r="X10" s="36" t="str">
        <f>IF(V$2&gt;='[1]1 цех result'!$C12,$AK10,"")</f>
        <v>Установка БСК
 1,2 Мвар на I СШ 6 кВ, и 0,75 Мвар на II СШ 6 кВ.
Замена Т-1-Т, Т-2-Т 2х16000 кВА</v>
      </c>
      <c r="Y10" s="36">
        <f>IF(Y$2='[1]1 цех result'!$C12,'[1]1 цех_CapEx'!M12,0)</f>
        <v>0</v>
      </c>
      <c r="Z10" s="36">
        <f>IF(Y$2&gt;='[1]1 цех result'!$D12,'[1]1 цех_CapEx'!M12,0)</f>
        <v>0</v>
      </c>
      <c r="AA10" s="36" t="str">
        <f>IF(Y$2&gt;='[1]1 цех result'!$C12,$AK10,"")</f>
        <v>Установка БСК
 1,2 Мвар на I СШ 6 кВ, и 0,75 Мвар на II СШ 6 кВ.
Замена Т-1-Т, Т-2-Т 2х16000 кВА</v>
      </c>
      <c r="AB10" s="36">
        <f>IF(AB$2='[1]1 цех result'!$C12,'[1]1 цех_CapEx'!N12,0)</f>
        <v>0</v>
      </c>
      <c r="AC10" s="36">
        <f>IF(AB$2&gt;='[1]1 цех result'!$D12,'[1]1 цех_CapEx'!N12,0)</f>
        <v>0</v>
      </c>
      <c r="AD10" s="36" t="str">
        <f>IF(AB$2&gt;='[1]1 цех result'!$C12,$AK10,"")</f>
        <v>Установка БСК
 1,2 Мвар на I СШ 6 кВ, и 0,75 Мвар на II СШ 6 кВ.
Замена Т-1-Т, Т-2-Т 2х16000 кВА</v>
      </c>
      <c r="AE10" s="36">
        <f>IF(AE$2='[1]1 цех result'!$C12,'[1]1 цех_CapEx'!O12,0)</f>
        <v>0</v>
      </c>
      <c r="AF10" s="36">
        <f>IF(AE$2&gt;='[1]1 цех result'!$D12,'[1]1 цех_CapEx'!O12,0)</f>
        <v>0</v>
      </c>
      <c r="AG10" s="36" t="str">
        <f>IF(AE$2&gt;='[1]1 цех result'!$C12,$AK10,"")</f>
        <v>Установка БСК
 1,2 Мвар на I СШ 6 кВ, и 0,75 Мвар на II СШ 6 кВ.
Замена Т-1-Т, Т-2-Т 2х16000 кВА</v>
      </c>
      <c r="AH10" s="36">
        <f>IF(AH$2='[1]1 цех result'!$C12,'[1]1 цех_CapEx'!P12,0)</f>
        <v>0</v>
      </c>
      <c r="AI10" s="36">
        <f>IF(AH$2&gt;='[1]1 цех result'!$D12,'[1]1 цех_CapEx'!P12,0)</f>
        <v>0</v>
      </c>
      <c r="AJ10" s="36" t="str">
        <f>IF(AH$2&gt;='[1]1 цех result'!$C12,$AK10,"")</f>
        <v>Установка БСК
 1,2 Мвар на I СШ 6 кВ, и 0,75 Мвар на II СШ 6 кВ.
Замена Т-1-Т, Т-2-Т 2х16000 кВА</v>
      </c>
      <c r="AK10" s="12" t="s">
        <v>168</v>
      </c>
      <c r="AL10" s="34"/>
      <c r="AM10" s="72">
        <f t="shared" si="0"/>
        <v>210635.58126289921</v>
      </c>
      <c r="AN10" s="72">
        <f>'[1]1 цех_CapEx'!$V12</f>
        <v>210635.58126289921</v>
      </c>
      <c r="AO10" s="72">
        <f t="shared" si="1"/>
        <v>0</v>
      </c>
      <c r="AP10" s="278"/>
      <c r="AQ10" s="277"/>
    </row>
    <row r="11" spans="1:43" ht="105" customHeight="1">
      <c r="A11" s="78">
        <v>7</v>
      </c>
      <c r="B11" s="19" t="str">
        <f>'[1]1 цех_CapEx'!$B13</f>
        <v>ПС 110/35/6 кВ 2х25000 кВА "Подгорная"</v>
      </c>
      <c r="C11" s="32">
        <f>'[1]1 цех_CapEx'!$W13</f>
        <v>1</v>
      </c>
      <c r="D11" s="20">
        <f>IF(D$2='[1]1 цех result'!$C13,'[1]1 цех_CapEx'!F13,0)</f>
        <v>0</v>
      </c>
      <c r="E11" s="20">
        <f>IF(D$2&gt;='[1]1 цех result'!$D13,'[1]1 цех_CapEx'!F13,0)</f>
        <v>0</v>
      </c>
      <c r="F11" s="20" t="str">
        <f>IF(D$2&gt;='[1]1 цех result'!$C13,$AK11,"")</f>
        <v/>
      </c>
      <c r="G11" s="20">
        <f>IF(G$2='[1]1 цех result'!$C13,'[1]1 цех_CapEx'!G13,0)</f>
        <v>0</v>
      </c>
      <c r="H11" s="20">
        <f>IF(G$2&gt;='[1]1 цех result'!$D13,'[1]1 цех_CapEx'!G13,0)</f>
        <v>0</v>
      </c>
      <c r="I11" s="20" t="str">
        <f>IF(G$2&gt;='[1]1 цех result'!$C13,$AK11,"")</f>
        <v/>
      </c>
      <c r="J11" s="20">
        <f>IF(J$2='[1]1 цех result'!$C13,'[1]1 цех_CapEx'!H13,0)</f>
        <v>0</v>
      </c>
      <c r="K11" s="20">
        <f>IF(J$2&gt;='[1]1 цех result'!$D13,'[1]1 цех_CapEx'!H13,0)</f>
        <v>0</v>
      </c>
      <c r="L11" s="20" t="str">
        <f>IF(J$2&gt;='[1]1 цех result'!$C13,$AK11,"")</f>
        <v/>
      </c>
      <c r="M11" s="20">
        <f>IF(M$2='[1]1 цех result'!$C13,'[1]1 цех_CapEx'!I13,0)</f>
        <v>12407.836108003783</v>
      </c>
      <c r="N11" s="20">
        <f>IF(M$2&gt;='[1]1 цех result'!$D13,'[1]1 цех_CapEx'!I13,0)</f>
        <v>0</v>
      </c>
      <c r="O11" s="20" t="str">
        <f>IF(M$2&gt;='[1]1 цех result'!$C13,$AK11,"")</f>
        <v>Установка ВВ-35 кВ - 8 шт
ЭВ - 2 шт. 1000 А.</v>
      </c>
      <c r="P11" s="20">
        <f>IF(P$2='[1]1 цех result'!$C13,'[1]1 цех_CapEx'!J13,0)</f>
        <v>0</v>
      </c>
      <c r="Q11" s="20">
        <f>IF(P$2&gt;='[1]1 цех result'!$D13,'[1]1 цех_CapEx'!J13,0)</f>
        <v>206441.5771649669</v>
      </c>
      <c r="R11" s="20" t="str">
        <f>IF(P$2&gt;='[1]1 цех result'!$C13,$AK11,"")</f>
        <v>Установка ВВ-35 кВ - 8 шт
ЭВ - 2 шт. 1000 А.</v>
      </c>
      <c r="S11" s="20">
        <f>IF(S$2='[1]1 цех result'!$C13,'[1]1 цех_CapEx'!K13,0)</f>
        <v>0</v>
      </c>
      <c r="T11" s="20">
        <f>IF(S$2&gt;='[1]1 цех result'!$D13,'[1]1 цех_CapEx'!K13,0)</f>
        <v>0</v>
      </c>
      <c r="U11" s="20" t="str">
        <f>IF(S$2&gt;='[1]1 цех result'!$C13,$AK11,"")</f>
        <v>Установка ВВ-35 кВ - 8 шт
ЭВ - 2 шт. 1000 А.</v>
      </c>
      <c r="V11" s="20">
        <f>IF(V$2='[1]1 цех result'!$C13,'[1]1 цех_CapEx'!L13,0)</f>
        <v>0</v>
      </c>
      <c r="W11" s="20">
        <f>IF(V$2&gt;='[1]1 цех result'!$D13,'[1]1 цех_CapEx'!L13,0)</f>
        <v>0</v>
      </c>
      <c r="X11" s="20" t="str">
        <f>IF(V$2&gt;='[1]1 цех result'!$C13,$AK11,"")</f>
        <v>Установка ВВ-35 кВ - 8 шт
ЭВ - 2 шт. 1000 А.</v>
      </c>
      <c r="Y11" s="20">
        <f>IF(Y$2='[1]1 цех result'!$C13,'[1]1 цех_CapEx'!M13,0)</f>
        <v>0</v>
      </c>
      <c r="Z11" s="20">
        <f>IF(Y$2&gt;='[1]1 цех result'!$D13,'[1]1 цех_CapEx'!M13,0)</f>
        <v>0</v>
      </c>
      <c r="AA11" s="20" t="str">
        <f>IF(Y$2&gt;='[1]1 цех result'!$C13,$AK11,"")</f>
        <v>Установка ВВ-35 кВ - 8 шт
ЭВ - 2 шт. 1000 А.</v>
      </c>
      <c r="AB11" s="20">
        <f>IF(AB$2='[1]1 цех result'!$C13,'[1]1 цех_CapEx'!N13,0)</f>
        <v>0</v>
      </c>
      <c r="AC11" s="20">
        <f>IF(AB$2&gt;='[1]1 цех result'!$D13,'[1]1 цех_CapEx'!N13,0)</f>
        <v>0</v>
      </c>
      <c r="AD11" s="20" t="str">
        <f>IF(AB$2&gt;='[1]1 цех result'!$C13,$AK11,"")</f>
        <v>Установка ВВ-35 кВ - 8 шт
ЭВ - 2 шт. 1000 А.</v>
      </c>
      <c r="AE11" s="20">
        <f>IF(AE$2='[1]1 цех result'!$C13,'[1]1 цех_CapEx'!O13,0)</f>
        <v>0</v>
      </c>
      <c r="AF11" s="20">
        <f>IF(AE$2&gt;='[1]1 цех result'!$D13,'[1]1 цех_CapEx'!O13,0)</f>
        <v>0</v>
      </c>
      <c r="AG11" s="20" t="str">
        <f>IF(AE$2&gt;='[1]1 цех result'!$C13,$AK11,"")</f>
        <v>Установка ВВ-35 кВ - 8 шт
ЭВ - 2 шт. 1000 А.</v>
      </c>
      <c r="AH11" s="20">
        <f>IF(AH$2='[1]1 цех result'!$C13,'[1]1 цех_CapEx'!P13,0)</f>
        <v>0</v>
      </c>
      <c r="AI11" s="20">
        <f>IF(AH$2&gt;='[1]1 цех result'!$D13,'[1]1 цех_CapEx'!P13,0)</f>
        <v>0</v>
      </c>
      <c r="AJ11" s="20" t="str">
        <f>IF(AH$2&gt;='[1]1 цех result'!$C13,$AK11,"")</f>
        <v>Установка ВВ-35 кВ - 8 шт
ЭВ - 2 шт. 1000 А.</v>
      </c>
      <c r="AK11" s="12" t="s">
        <v>44</v>
      </c>
      <c r="AL11" s="19"/>
      <c r="AM11" s="71">
        <f t="shared" si="0"/>
        <v>218849.41327297068</v>
      </c>
      <c r="AN11" s="71">
        <f>'[1]1 цех_CapEx'!$V13</f>
        <v>218849.41327297068</v>
      </c>
      <c r="AO11" s="71">
        <f t="shared" si="1"/>
        <v>0</v>
      </c>
      <c r="AP11" s="279" t="s">
        <v>182</v>
      </c>
      <c r="AQ11" s="277" t="s">
        <v>178</v>
      </c>
    </row>
    <row r="12" spans="1:43" ht="45">
      <c r="A12" s="78">
        <v>8</v>
      </c>
      <c r="B12" s="19" t="str">
        <f>'[1]1 цех_CapEx'!$B14</f>
        <v>ПС 110/35/6 кВ 2х25000 кВА "Подгорная"  (БСК)</v>
      </c>
      <c r="C12" s="32">
        <f>'[1]1 цех_CapEx'!$W14</f>
        <v>1</v>
      </c>
      <c r="D12" s="20">
        <f>IF(D$2='[1]1 цех result'!$C14,'[1]1 цех_CapEx'!F14,0)</f>
        <v>0</v>
      </c>
      <c r="E12" s="20">
        <f>IF(D$2&gt;='[1]1 цех result'!$D14,'[1]1 цех_CapEx'!F14,0)</f>
        <v>0</v>
      </c>
      <c r="F12" s="20" t="str">
        <f>IF(D$2&gt;='[1]1 цех result'!$C14,$AK12,"")</f>
        <v/>
      </c>
      <c r="G12" s="20">
        <f>IF(G$2='[1]1 цех result'!$C14,'[1]1 цех_CapEx'!G14,0)</f>
        <v>0</v>
      </c>
      <c r="H12" s="20">
        <f>IF(G$2&gt;='[1]1 цех result'!$D14,'[1]1 цех_CapEx'!G14,0)</f>
        <v>0</v>
      </c>
      <c r="I12" s="20" t="str">
        <f>IF(G$2&gt;='[1]1 цех result'!$C14,$AK12,"")</f>
        <v/>
      </c>
      <c r="J12" s="20">
        <f>IF(J$2='[1]1 цех result'!$C14,'[1]1 цех_CapEx'!H14,0)</f>
        <v>0</v>
      </c>
      <c r="K12" s="20">
        <f>IF(J$2&gt;='[1]1 цех result'!$D14,'[1]1 цех_CapEx'!H14,0)</f>
        <v>0</v>
      </c>
      <c r="L12" s="20" t="str">
        <f>IF(J$2&gt;='[1]1 цех result'!$C14,$AK12,"")</f>
        <v/>
      </c>
      <c r="M12" s="20">
        <f>IF(M$2='[1]1 цех result'!$C14,'[1]1 цех_CapEx'!I14,0)</f>
        <v>0</v>
      </c>
      <c r="N12" s="20">
        <f>IF(M$2&gt;='[1]1 цех result'!$D14,'[1]1 цех_CapEx'!I14,0)</f>
        <v>0</v>
      </c>
      <c r="O12" s="20" t="str">
        <f>IF(M$2&gt;='[1]1 цех result'!$C14,$AK12,"")</f>
        <v/>
      </c>
      <c r="P12" s="20">
        <f>IF(P$2='[1]1 цех result'!$C14,'[1]1 цех_CapEx'!J14,0)</f>
        <v>0</v>
      </c>
      <c r="Q12" s="20">
        <f>IF(P$2&gt;='[1]1 цех result'!$D14,'[1]1 цех_CapEx'!J14,0)</f>
        <v>0</v>
      </c>
      <c r="R12" s="20" t="str">
        <f>IF(P$2&gt;='[1]1 цех result'!$C14,$AK12,"")</f>
        <v/>
      </c>
      <c r="S12" s="20">
        <f>IF(S$2='[1]1 цех result'!$C14,'[1]1 цех_CapEx'!K14,0)</f>
        <v>0</v>
      </c>
      <c r="T12" s="20">
        <f>IF(S$2&gt;='[1]1 цех result'!$D14,'[1]1 цех_CapEx'!K14,0)</f>
        <v>0</v>
      </c>
      <c r="U12" s="20" t="str">
        <f>IF(S$2&gt;='[1]1 цех result'!$C14,$AK12,"")</f>
        <v/>
      </c>
      <c r="V12" s="20">
        <f>IF(V$2='[1]1 цех result'!$C14,'[1]1 цех_CapEx'!L14,0)</f>
        <v>574.16610897652993</v>
      </c>
      <c r="W12" s="20">
        <f>IF(V$2&gt;='[1]1 цех result'!$D14,'[1]1 цех_CapEx'!L14,0)</f>
        <v>0</v>
      </c>
      <c r="X12" s="20" t="str">
        <f>IF(V$2&gt;='[1]1 цех result'!$C14,$AK12,"")</f>
        <v>Установка БСК– 0,4 Мвар на I СШ 6 кВ, и 1,2 Мвар на II СШ 6 кВ.</v>
      </c>
      <c r="Y12" s="20">
        <f>IF(Y$2='[1]1 цех result'!$C14,'[1]1 цех_CapEx'!M14,0)</f>
        <v>0</v>
      </c>
      <c r="Z12" s="20">
        <f>IF(Y$2&gt;='[1]1 цех result'!$D14,'[1]1 цех_CapEx'!M14,0)</f>
        <v>18935.998274045956</v>
      </c>
      <c r="AA12" s="20" t="str">
        <f>IF(Y$2&gt;='[1]1 цех result'!$C14,$AK12,"")</f>
        <v>Установка БСК– 0,4 Мвар на I СШ 6 кВ, и 1,2 Мвар на II СШ 6 кВ.</v>
      </c>
      <c r="AB12" s="20">
        <f>IF(AB$2='[1]1 цех result'!$C14,'[1]1 цех_CapEx'!N14,0)</f>
        <v>0</v>
      </c>
      <c r="AC12" s="20">
        <f>IF(AB$2&gt;='[1]1 цех result'!$D14,'[1]1 цех_CapEx'!N14,0)</f>
        <v>0</v>
      </c>
      <c r="AD12" s="20" t="str">
        <f>IF(AB$2&gt;='[1]1 цех result'!$C14,$AK12,"")</f>
        <v>Установка БСК– 0,4 Мвар на I СШ 6 кВ, и 1,2 Мвар на II СШ 6 кВ.</v>
      </c>
      <c r="AE12" s="20">
        <f>IF(AE$2='[1]1 цех result'!$C14,'[1]1 цех_CapEx'!O14,0)</f>
        <v>0</v>
      </c>
      <c r="AF12" s="20">
        <f>IF(AE$2&gt;='[1]1 цех result'!$D14,'[1]1 цех_CapEx'!O14,0)</f>
        <v>0</v>
      </c>
      <c r="AG12" s="20" t="str">
        <f>IF(AE$2&gt;='[1]1 цех result'!$C14,$AK12,"")</f>
        <v>Установка БСК– 0,4 Мвар на I СШ 6 кВ, и 1,2 Мвар на II СШ 6 кВ.</v>
      </c>
      <c r="AH12" s="20">
        <f>IF(AH$2='[1]1 цех result'!$C14,'[1]1 цех_CapEx'!P14,0)</f>
        <v>0</v>
      </c>
      <c r="AI12" s="20">
        <f>IF(AH$2&gt;='[1]1 цех result'!$D14,'[1]1 цех_CapEx'!P14,0)</f>
        <v>0</v>
      </c>
      <c r="AJ12" s="20" t="str">
        <f>IF(AH$2&gt;='[1]1 цех result'!$C14,$AK12,"")</f>
        <v>Установка БСК– 0,4 Мвар на I СШ 6 кВ, и 1,2 Мвар на II СШ 6 кВ.</v>
      </c>
      <c r="AK12" s="12" t="s">
        <v>45</v>
      </c>
      <c r="AL12" s="19"/>
      <c r="AM12" s="71">
        <f t="shared" si="0"/>
        <v>19510.164383022486</v>
      </c>
      <c r="AN12" s="71">
        <f>'[1]1 цех_CapEx'!$V14</f>
        <v>19510.164383022486</v>
      </c>
      <c r="AO12" s="71">
        <f t="shared" si="1"/>
        <v>0</v>
      </c>
      <c r="AP12" s="279"/>
      <c r="AQ12" s="277"/>
    </row>
    <row r="13" spans="1:43" ht="240">
      <c r="A13" s="78">
        <v>9</v>
      </c>
      <c r="B13" s="19" t="str">
        <f>'[1]1 цех_CapEx'!$B15</f>
        <v>ПС 110/35/6 кВ 2х25000 кВА "Тимашевская"</v>
      </c>
      <c r="C13" s="32">
        <f>'[1]1 цех_CapEx'!$W15</f>
        <v>1</v>
      </c>
      <c r="D13" s="20">
        <f>IF(D$2='[1]1 цех result'!$C15,'[1]1 цех_CapEx'!F15,0)</f>
        <v>0</v>
      </c>
      <c r="E13" s="20">
        <f>IF(D$2&gt;='[1]1 цех result'!$D15,'[1]1 цех_CapEx'!F15,0)</f>
        <v>0</v>
      </c>
      <c r="F13" s="20" t="str">
        <f>IF(D$2&gt;='[1]1 цех result'!$C15,$AK13,"")</f>
        <v/>
      </c>
      <c r="G13" s="20">
        <f>IF(G$2='[1]1 цех result'!$C15,'[1]1 цех_CapEx'!G15,0)</f>
        <v>9270.5329448400007</v>
      </c>
      <c r="H13" s="20">
        <f>IF(G$2&gt;='[1]1 цех result'!$D15,'[1]1 цех_CapEx'!G15,0)</f>
        <v>0</v>
      </c>
      <c r="I13" s="20" t="str">
        <f>IF(G$2&gt;='[1]1 цех result'!$C15,$AK13,"")</f>
        <v>Установка:                                                                                    Замена систем ОД-КЗ на элегазовые выключатели - 2 шт., 1000 А.</v>
      </c>
      <c r="J13" s="20">
        <f>IF(J$2='[1]1 цех result'!$C15,'[1]1 цех_CapEx'!H15,0)</f>
        <v>0</v>
      </c>
      <c r="K13" s="20">
        <f>IF(J$2&gt;='[1]1 цех result'!$D15,'[1]1 цех_CapEx'!H15,0)</f>
        <v>0</v>
      </c>
      <c r="L13" s="20" t="str">
        <f>IF(J$2&gt;='[1]1 цех result'!$C15,$AK13,"")</f>
        <v>Установка:                                                                                    Замена систем ОД-КЗ на элегазовые выключатели - 2 шт., 1000 А.</v>
      </c>
      <c r="M13" s="20">
        <f>IF(M$2='[1]1 цех result'!$C15,'[1]1 цех_CapEx'!I15,0)</f>
        <v>0</v>
      </c>
      <c r="N13" s="20">
        <f>IF(M$2&gt;='[1]1 цех result'!$D15,'[1]1 цех_CapEx'!I15,0)</f>
        <v>162112.14091048698</v>
      </c>
      <c r="O13" s="20" t="str">
        <f>IF(M$2&gt;='[1]1 цех result'!$C15,$AK13,"")</f>
        <v>Установка:                                                                                    Замена систем ОД-КЗ на элегазовые выключатели - 2 шт., 1000 А.</v>
      </c>
      <c r="P13" s="20">
        <f>IF(P$2='[1]1 цех result'!$C15,'[1]1 цех_CapEx'!J15,0)</f>
        <v>0</v>
      </c>
      <c r="Q13" s="20">
        <f>IF(P$2&gt;='[1]1 цех result'!$D15,'[1]1 цех_CapEx'!J15,0)</f>
        <v>0</v>
      </c>
      <c r="R13" s="20" t="str">
        <f>IF(P$2&gt;='[1]1 цех result'!$C15,$AK13,"")</f>
        <v>Установка:                                                                                    Замена систем ОД-КЗ на элегазовые выключатели - 2 шт., 1000 А.</v>
      </c>
      <c r="S13" s="20">
        <f>IF(S$2='[1]1 цех result'!$C15,'[1]1 цех_CapEx'!K15,0)</f>
        <v>0</v>
      </c>
      <c r="T13" s="20">
        <f>IF(S$2&gt;='[1]1 цех result'!$D15,'[1]1 цех_CapEx'!K15,0)</f>
        <v>0</v>
      </c>
      <c r="U13" s="20" t="str">
        <f>IF(S$2&gt;='[1]1 цех result'!$C15,$AK13,"")</f>
        <v>Установка:                                                                                    Замена систем ОД-КЗ на элегазовые выключатели - 2 шт., 1000 А.</v>
      </c>
      <c r="V13" s="20">
        <f>IF(V$2='[1]1 цех result'!$C15,'[1]1 цех_CapEx'!L15,0)</f>
        <v>0</v>
      </c>
      <c r="W13" s="20">
        <f>IF(V$2&gt;='[1]1 цех result'!$D15,'[1]1 цех_CapEx'!L15,0)</f>
        <v>0</v>
      </c>
      <c r="X13" s="20" t="str">
        <f>IF(V$2&gt;='[1]1 цех result'!$C15,$AK13,"")</f>
        <v>Установка:                                                                                    Замена систем ОД-КЗ на элегазовые выключатели - 2 шт., 1000 А.</v>
      </c>
      <c r="Y13" s="20">
        <f>IF(Y$2='[1]1 цех result'!$C15,'[1]1 цех_CapEx'!M15,0)</f>
        <v>0</v>
      </c>
      <c r="Z13" s="20">
        <f>IF(Y$2&gt;='[1]1 цех result'!$D15,'[1]1 цех_CapEx'!M15,0)</f>
        <v>0</v>
      </c>
      <c r="AA13" s="20" t="str">
        <f>IF(Y$2&gt;='[1]1 цех result'!$C15,$AK13,"")</f>
        <v>Установка:                                                                                    Замена систем ОД-КЗ на элегазовые выключатели - 2 шт., 1000 А.</v>
      </c>
      <c r="AB13" s="20">
        <f>IF(AB$2='[1]1 цех result'!$C15,'[1]1 цех_CapEx'!N15,0)</f>
        <v>0</v>
      </c>
      <c r="AC13" s="20">
        <f>IF(AB$2&gt;='[1]1 цех result'!$D15,'[1]1 цех_CapEx'!N15,0)</f>
        <v>0</v>
      </c>
      <c r="AD13" s="20" t="str">
        <f>IF(AB$2&gt;='[1]1 цех result'!$C15,$AK13,"")</f>
        <v>Установка:                                                                                    Замена систем ОД-КЗ на элегазовые выключатели - 2 шт., 1000 А.</v>
      </c>
      <c r="AE13" s="20">
        <f>IF(AE$2='[1]1 цех result'!$C15,'[1]1 цех_CapEx'!O15,0)</f>
        <v>0</v>
      </c>
      <c r="AF13" s="20">
        <f>IF(AE$2&gt;='[1]1 цех result'!$D15,'[1]1 цех_CapEx'!O15,0)</f>
        <v>0</v>
      </c>
      <c r="AG13" s="20" t="str">
        <f>IF(AE$2&gt;='[1]1 цех result'!$C15,$AK13,"")</f>
        <v>Установка:                                                                                    Замена систем ОД-КЗ на элегазовые выключатели - 2 шт., 1000 А.</v>
      </c>
      <c r="AH13" s="20">
        <f>IF(AH$2='[1]1 цех result'!$C15,'[1]1 цех_CapEx'!P15,0)</f>
        <v>0</v>
      </c>
      <c r="AI13" s="20">
        <f>IF(AH$2&gt;='[1]1 цех result'!$D15,'[1]1 цех_CapEx'!P15,0)</f>
        <v>0</v>
      </c>
      <c r="AJ13" s="20" t="str">
        <f>IF(AH$2&gt;='[1]1 цех result'!$C15,$AK13,"")</f>
        <v>Установка:                                                                                    Замена систем ОД-КЗ на элегазовые выключатели - 2 шт., 1000 А.</v>
      </c>
      <c r="AK13" s="12" t="s">
        <v>47</v>
      </c>
      <c r="AL13" s="19"/>
      <c r="AM13" s="71">
        <f t="shared" si="0"/>
        <v>171382.67385532698</v>
      </c>
      <c r="AN13" s="71">
        <f>'[1]1 цех_CapEx'!$V15</f>
        <v>171382.67385532698</v>
      </c>
      <c r="AO13" s="71">
        <f t="shared" si="1"/>
        <v>0</v>
      </c>
      <c r="AP13" s="55" t="s">
        <v>222</v>
      </c>
      <c r="AQ13" s="79" t="s">
        <v>178</v>
      </c>
    </row>
    <row r="14" spans="1:43" ht="45">
      <c r="A14" s="78">
        <v>10</v>
      </c>
      <c r="B14" s="19" t="str">
        <f>'[1]1 цех_CapEx'!$B16</f>
        <v>ПС 35/6кВ 1х2500 кВА "Кинель-Черкасская"</v>
      </c>
      <c r="C14" s="32">
        <f>'[1]1 цех_CapEx'!$W16</f>
        <v>1</v>
      </c>
      <c r="D14" s="20">
        <f>IF(D$2='[1]1 цех result'!$C16,'[1]1 цех_CapEx'!F16,0)</f>
        <v>283.38438000000002</v>
      </c>
      <c r="E14" s="20">
        <f>IF(D$2&gt;='[1]1 цех result'!$D16,'[1]1 цех_CapEx'!F16,0)</f>
        <v>0</v>
      </c>
      <c r="F14" s="20" t="str">
        <f>IF(D$2&gt;='[1]1 цех result'!$C16,$AK14,"")</f>
        <v>Замена:
 Т-1-Т 35/6 кВ с  РПН, тип - ТМН  -1 шт.</v>
      </c>
      <c r="G14" s="20">
        <f>IF(G$2='[1]1 цех result'!$C16,'[1]1 цех_CapEx'!G16,0)</f>
        <v>0</v>
      </c>
      <c r="H14" s="20">
        <f>IF(G$2&gt;='[1]1 цех result'!$D16,'[1]1 цех_CapEx'!G16,0)</f>
        <v>0</v>
      </c>
      <c r="I14" s="20" t="str">
        <f>IF(G$2&gt;='[1]1 цех result'!$C16,$AK14,"")</f>
        <v>Замена:
 Т-1-Т 35/6 кВ с  РПН, тип - ТМН  -1 шт.</v>
      </c>
      <c r="J14" s="20">
        <f>IF(J$2='[1]1 цех result'!$C16,'[1]1 цех_CapEx'!H16,0)</f>
        <v>0</v>
      </c>
      <c r="K14" s="20">
        <f>IF(J$2&gt;='[1]1 цех result'!$D16,'[1]1 цех_CapEx'!H16,0)</f>
        <v>0</v>
      </c>
      <c r="L14" s="20" t="str">
        <f>IF(J$2&gt;='[1]1 цех result'!$C16,$AK14,"")</f>
        <v>Замена:
 Т-1-Т 35/6 кВ с  РПН, тип - ТМН  -1 шт.</v>
      </c>
      <c r="M14" s="20">
        <f>IF(M$2='[1]1 цех result'!$C16,'[1]1 цех_CapEx'!I16,0)</f>
        <v>0</v>
      </c>
      <c r="N14" s="20">
        <f>IF(M$2&gt;='[1]1 цех result'!$D16,'[1]1 цех_CapEx'!I16,0)</f>
        <v>11178.429352657678</v>
      </c>
      <c r="O14" s="20" t="str">
        <f>IF(M$2&gt;='[1]1 цех result'!$C16,$AK14,"")</f>
        <v>Замена:
 Т-1-Т 35/6 кВ с  РПН, тип - ТМН  -1 шт.</v>
      </c>
      <c r="P14" s="20">
        <f>IF(P$2='[1]1 цех result'!$C16,'[1]1 цех_CapEx'!J16,0)</f>
        <v>0</v>
      </c>
      <c r="Q14" s="20">
        <f>IF(P$2&gt;='[1]1 цех result'!$D16,'[1]1 цех_CapEx'!J16,0)</f>
        <v>0</v>
      </c>
      <c r="R14" s="20" t="str">
        <f>IF(P$2&gt;='[1]1 цех result'!$C16,$AK14,"")</f>
        <v>Замена:
 Т-1-Т 35/6 кВ с  РПН, тип - ТМН  -1 шт.</v>
      </c>
      <c r="S14" s="20">
        <f>IF(S$2='[1]1 цех result'!$C16,'[1]1 цех_CapEx'!K16,0)</f>
        <v>0</v>
      </c>
      <c r="T14" s="20">
        <f>IF(S$2&gt;='[1]1 цех result'!$D16,'[1]1 цех_CapEx'!K16,0)</f>
        <v>0</v>
      </c>
      <c r="U14" s="20" t="str">
        <f>IF(S$2&gt;='[1]1 цех result'!$C16,$AK14,"")</f>
        <v>Замена:
 Т-1-Т 35/6 кВ с  РПН, тип - ТМН  -1 шт.</v>
      </c>
      <c r="V14" s="20">
        <f>IF(V$2='[1]1 цех result'!$C16,'[1]1 цех_CapEx'!L16,0)</f>
        <v>0</v>
      </c>
      <c r="W14" s="20">
        <f>IF(V$2&gt;='[1]1 цех result'!$D16,'[1]1 цех_CapEx'!L16,0)</f>
        <v>0</v>
      </c>
      <c r="X14" s="20" t="str">
        <f>IF(V$2&gt;='[1]1 цех result'!$C16,$AK14,"")</f>
        <v>Замена:
 Т-1-Т 35/6 кВ с  РПН, тип - ТМН  -1 шт.</v>
      </c>
      <c r="Y14" s="20">
        <f>IF(Y$2='[1]1 цех result'!$C16,'[1]1 цех_CapEx'!M16,0)</f>
        <v>0</v>
      </c>
      <c r="Z14" s="20">
        <f>IF(Y$2&gt;='[1]1 цех result'!$D16,'[1]1 цех_CapEx'!M16,0)</f>
        <v>0</v>
      </c>
      <c r="AA14" s="20" t="str">
        <f>IF(Y$2&gt;='[1]1 цех result'!$C16,$AK14,"")</f>
        <v>Замена:
 Т-1-Т 35/6 кВ с  РПН, тип - ТМН  -1 шт.</v>
      </c>
      <c r="AB14" s="20">
        <f>IF(AB$2='[1]1 цех result'!$C16,'[1]1 цех_CapEx'!N16,0)</f>
        <v>0</v>
      </c>
      <c r="AC14" s="20">
        <f>IF(AB$2&gt;='[1]1 цех result'!$D16,'[1]1 цех_CapEx'!N16,0)</f>
        <v>0</v>
      </c>
      <c r="AD14" s="20" t="str">
        <f>IF(AB$2&gt;='[1]1 цех result'!$C16,$AK14,"")</f>
        <v>Замена:
 Т-1-Т 35/6 кВ с  РПН, тип - ТМН  -1 шт.</v>
      </c>
      <c r="AE14" s="20">
        <f>IF(AE$2='[1]1 цех result'!$C16,'[1]1 цех_CapEx'!O16,0)</f>
        <v>0</v>
      </c>
      <c r="AF14" s="20">
        <f>IF(AE$2&gt;='[1]1 цех result'!$D16,'[1]1 цех_CapEx'!O16,0)</f>
        <v>0</v>
      </c>
      <c r="AG14" s="20" t="str">
        <f>IF(AE$2&gt;='[1]1 цех result'!$C16,$AK14,"")</f>
        <v>Замена:
 Т-1-Т 35/6 кВ с  РПН, тип - ТМН  -1 шт.</v>
      </c>
      <c r="AH14" s="20">
        <f>IF(AH$2='[1]1 цех result'!$C16,'[1]1 цех_CapEx'!P16,0)</f>
        <v>0</v>
      </c>
      <c r="AI14" s="20">
        <f>IF(AH$2&gt;='[1]1 цех result'!$D16,'[1]1 цех_CapEx'!P16,0)</f>
        <v>0</v>
      </c>
      <c r="AJ14" s="20" t="str">
        <f>IF(AH$2&gt;='[1]1 цех result'!$C16,$AK14,"")</f>
        <v>Замена:
 Т-1-Т 35/6 кВ с  РПН, тип - ТМН  -1 шт.</v>
      </c>
      <c r="AK14" s="12" t="s">
        <v>48</v>
      </c>
      <c r="AL14" s="19"/>
      <c r="AM14" s="71">
        <f t="shared" si="0"/>
        <v>11461.813732657678</v>
      </c>
      <c r="AN14" s="71">
        <f>'[1]1 цех_CapEx'!$V16</f>
        <v>11461.813732657678</v>
      </c>
      <c r="AO14" s="71">
        <f t="shared" si="1"/>
        <v>0</v>
      </c>
      <c r="AP14" s="62" t="s">
        <v>183</v>
      </c>
      <c r="AQ14" s="79" t="s">
        <v>178</v>
      </c>
    </row>
    <row r="15" spans="1:43" ht="45">
      <c r="A15" s="78">
        <v>11</v>
      </c>
      <c r="B15" s="19" t="str">
        <f>'[1]1 цех_CapEx'!$B17</f>
        <v>ПС 35/6кВ 1х1600 кВА "Винно-Банновская"</v>
      </c>
      <c r="C15" s="32">
        <f>'[1]1 цех_CapEx'!$W17</f>
        <v>1</v>
      </c>
      <c r="D15" s="20">
        <f>IF(D$2='[1]1 цех result'!$C17,'[1]1 цех_CapEx'!F17,0)</f>
        <v>0</v>
      </c>
      <c r="E15" s="20">
        <f>IF(D$2&gt;='[1]1 цех result'!$D17,'[1]1 цех_CapEx'!F17,0)</f>
        <v>0</v>
      </c>
      <c r="F15" s="20" t="str">
        <f>IF(D$2&gt;='[1]1 цех result'!$C17,$AK15,"")</f>
        <v/>
      </c>
      <c r="G15" s="20">
        <f>IF(G$2='[1]1 цех result'!$C17,'[1]1 цех_CapEx'!G17,0)</f>
        <v>0</v>
      </c>
      <c r="H15" s="20">
        <f>IF(G$2&gt;='[1]1 цех result'!$D17,'[1]1 цех_CapEx'!G17,0)</f>
        <v>0</v>
      </c>
      <c r="I15" s="20" t="str">
        <f>IF(G$2&gt;='[1]1 цех result'!$C17,$AK15,"")</f>
        <v/>
      </c>
      <c r="J15" s="20">
        <f>IF(J$2='[1]1 цех result'!$C17,'[1]1 цех_CapEx'!H17,0)</f>
        <v>0</v>
      </c>
      <c r="K15" s="20">
        <f>IF(J$2&gt;='[1]1 цех result'!$D17,'[1]1 цех_CapEx'!H17,0)</f>
        <v>0</v>
      </c>
      <c r="L15" s="20" t="str">
        <f>IF(J$2&gt;='[1]1 цех result'!$C17,$AK15,"")</f>
        <v/>
      </c>
      <c r="M15" s="20">
        <f>IF(M$2='[1]1 цех result'!$C17,'[1]1 цех_CapEx'!I17,0)</f>
        <v>637.93390009747316</v>
      </c>
      <c r="N15" s="20">
        <f>IF(M$2&gt;='[1]1 цех result'!$D17,'[1]1 цех_CapEx'!I17,0)</f>
        <v>0</v>
      </c>
      <c r="O15" s="20" t="str">
        <f>IF(M$2&gt;='[1]1 цех result'!$C17,$AK15,"")</f>
        <v xml:space="preserve"> Замена:
  Т-1-Т 4000 кВА - 1 шт.</v>
      </c>
      <c r="P15" s="20">
        <f>IF(P$2='[1]1 цех result'!$C17,'[1]1 цех_CapEx'!J17,0)</f>
        <v>0</v>
      </c>
      <c r="Q15" s="20">
        <f>IF(P$2&gt;='[1]1 цех result'!$D17,'[1]1 цех_CapEx'!J17,0)</f>
        <v>0</v>
      </c>
      <c r="R15" s="20" t="str">
        <f>IF(P$2&gt;='[1]1 цех result'!$C17,$AK15,"")</f>
        <v xml:space="preserve"> Замена:
  Т-1-Т 4000 кВА - 1 шт.</v>
      </c>
      <c r="S15" s="20">
        <f>IF(S$2='[1]1 цех result'!$C17,'[1]1 цех_CapEx'!K17,0)</f>
        <v>0</v>
      </c>
      <c r="T15" s="20">
        <f>IF(S$2&gt;='[1]1 цех result'!$D17,'[1]1 цех_CapEx'!K17,0)</f>
        <v>23110.16984593212</v>
      </c>
      <c r="U15" s="20" t="str">
        <f>IF(S$2&gt;='[1]1 цех result'!$C17,$AK15,"")</f>
        <v xml:space="preserve"> Замена:
  Т-1-Т 4000 кВА - 1 шт.</v>
      </c>
      <c r="V15" s="20">
        <f>IF(V$2='[1]1 цех result'!$C17,'[1]1 цех_CapEx'!L17,0)</f>
        <v>0</v>
      </c>
      <c r="W15" s="20">
        <f>IF(V$2&gt;='[1]1 цех result'!$D17,'[1]1 цех_CapEx'!L17,0)</f>
        <v>0</v>
      </c>
      <c r="X15" s="20" t="str">
        <f>IF(V$2&gt;='[1]1 цех result'!$C17,$AK15,"")</f>
        <v xml:space="preserve"> Замена:
  Т-1-Т 4000 кВА - 1 шт.</v>
      </c>
      <c r="Y15" s="20">
        <f>IF(Y$2='[1]1 цех result'!$C17,'[1]1 цех_CapEx'!M17,0)</f>
        <v>0</v>
      </c>
      <c r="Z15" s="20">
        <f>IF(Y$2&gt;='[1]1 цех result'!$D17,'[1]1 цех_CapEx'!M17,0)</f>
        <v>0</v>
      </c>
      <c r="AA15" s="20" t="str">
        <f>IF(Y$2&gt;='[1]1 цех result'!$C17,$AK15,"")</f>
        <v xml:space="preserve"> Замена:
  Т-1-Т 4000 кВА - 1 шт.</v>
      </c>
      <c r="AB15" s="20">
        <f>IF(AB$2='[1]1 цех result'!$C17,'[1]1 цех_CapEx'!N17,0)</f>
        <v>0</v>
      </c>
      <c r="AC15" s="20">
        <f>IF(AB$2&gt;='[1]1 цех result'!$D17,'[1]1 цех_CapEx'!N17,0)</f>
        <v>0</v>
      </c>
      <c r="AD15" s="20" t="str">
        <f>IF(AB$2&gt;='[1]1 цех result'!$C17,$AK15,"")</f>
        <v xml:space="preserve"> Замена:
  Т-1-Т 4000 кВА - 1 шт.</v>
      </c>
      <c r="AE15" s="20">
        <f>IF(AE$2='[1]1 цех result'!$C17,'[1]1 цех_CapEx'!O17,0)</f>
        <v>0</v>
      </c>
      <c r="AF15" s="20">
        <f>IF(AE$2&gt;='[1]1 цех result'!$D17,'[1]1 цех_CapEx'!O17,0)</f>
        <v>0</v>
      </c>
      <c r="AG15" s="20" t="str">
        <f>IF(AE$2&gt;='[1]1 цех result'!$C17,$AK15,"")</f>
        <v xml:space="preserve"> Замена:
  Т-1-Т 4000 кВА - 1 шт.</v>
      </c>
      <c r="AH15" s="20">
        <f>IF(AH$2='[1]1 цех result'!$C17,'[1]1 цех_CapEx'!P17,0)</f>
        <v>0</v>
      </c>
      <c r="AI15" s="20">
        <f>IF(AH$2&gt;='[1]1 цех result'!$D17,'[1]1 цех_CapEx'!P17,0)</f>
        <v>0</v>
      </c>
      <c r="AJ15" s="20" t="str">
        <f>IF(AH$2&gt;='[1]1 цех result'!$C17,$AK15,"")</f>
        <v xml:space="preserve"> Замена:
  Т-1-Т 4000 кВА - 1 шт.</v>
      </c>
      <c r="AK15" s="12" t="s">
        <v>49</v>
      </c>
      <c r="AL15" s="19"/>
      <c r="AM15" s="71">
        <f t="shared" si="0"/>
        <v>23748.103746029592</v>
      </c>
      <c r="AN15" s="71">
        <f>'[1]1 цех_CapEx'!$V17</f>
        <v>23748.103746029592</v>
      </c>
      <c r="AO15" s="71">
        <f t="shared" si="1"/>
        <v>0</v>
      </c>
      <c r="AP15" s="62" t="s">
        <v>184</v>
      </c>
      <c r="AQ15" s="79" t="s">
        <v>178</v>
      </c>
    </row>
    <row r="16" spans="1:43" ht="60">
      <c r="A16" s="78">
        <v>12</v>
      </c>
      <c r="B16" s="19" t="str">
        <f>'[1]1 цех_CapEx'!$B18</f>
        <v>ПС 35/6кВ 2х6300 кВА "Дмитриевская"</v>
      </c>
      <c r="C16" s="32">
        <f>'[1]1 цех_CapEx'!$W18</f>
        <v>1</v>
      </c>
      <c r="D16" s="20">
        <f>IF(D$2='[1]1 цех result'!$C18,'[1]1 цех_CapEx'!F18,0)</f>
        <v>0</v>
      </c>
      <c r="E16" s="20">
        <f>IF(D$2&gt;='[1]1 цех result'!$D18,'[1]1 цех_CapEx'!F18,0)</f>
        <v>0</v>
      </c>
      <c r="F16" s="20" t="str">
        <f>IF(D$2&gt;='[1]1 цех result'!$C18,$AK16,"")</f>
        <v/>
      </c>
      <c r="G16" s="20">
        <f>IF(G$2='[1]1 цех result'!$C18,'[1]1 цех_CapEx'!G18,0)</f>
        <v>0</v>
      </c>
      <c r="H16" s="20">
        <f>IF(G$2&gt;='[1]1 цех result'!$D18,'[1]1 цех_CapEx'!G18,0)</f>
        <v>0</v>
      </c>
      <c r="I16" s="20" t="str">
        <f>IF(G$2&gt;='[1]1 цех result'!$C18,$AK16,"")</f>
        <v/>
      </c>
      <c r="J16" s="20">
        <f>IF(J$2='[1]1 цех result'!$C18,'[1]1 цех_CapEx'!H18,0)</f>
        <v>0</v>
      </c>
      <c r="K16" s="20">
        <f>IF(J$2&gt;='[1]1 цех result'!$D18,'[1]1 цех_CapEx'!H18,0)</f>
        <v>0</v>
      </c>
      <c r="L16" s="20" t="str">
        <f>IF(J$2&gt;='[1]1 цех result'!$C18,$AK16,"")</f>
        <v/>
      </c>
      <c r="M16" s="20">
        <f>IF(M$2='[1]1 цех result'!$C18,'[1]1 цех_CapEx'!I18,0)</f>
        <v>0</v>
      </c>
      <c r="N16" s="20">
        <f>IF(M$2&gt;='[1]1 цех result'!$D18,'[1]1 цех_CapEx'!I18,0)</f>
        <v>0</v>
      </c>
      <c r="O16" s="20" t="str">
        <f>IF(M$2&gt;='[1]1 цех result'!$C18,$AK16,"")</f>
        <v/>
      </c>
      <c r="P16" s="20">
        <f>IF(P$2='[1]1 цех result'!$C18,'[1]1 цех_CapEx'!J18,0)</f>
        <v>2477.8192487025253</v>
      </c>
      <c r="Q16" s="20">
        <f>IF(P$2&gt;='[1]1 цех result'!$D18,'[1]1 цех_CapEx'!J18,0)</f>
        <v>0</v>
      </c>
      <c r="R16" s="20" t="str">
        <f>IF(P$2&gt;='[1]1 цех result'!$C18,$AK16,"")</f>
        <v>Установка:                                                                                                  РУ-6 кВ- 1 шт.                                                                        МВ-35 кВ - 5 шт.                                                             СТ - 2 шт. 6300 кВА</v>
      </c>
      <c r="S16" s="20">
        <f>IF(S$2='[1]1 цех result'!$C18,'[1]1 цех_CapEx'!K18,0)</f>
        <v>0</v>
      </c>
      <c r="T16" s="20">
        <f>IF(S$2&gt;='[1]1 цех result'!$D18,'[1]1 цех_CapEx'!K18,0)</f>
        <v>84522.544271990977</v>
      </c>
      <c r="U16" s="20" t="str">
        <f>IF(S$2&gt;='[1]1 цех result'!$C18,$AK16,"")</f>
        <v>Установка:                                                                                                  РУ-6 кВ- 1 шт.                                                                        МВ-35 кВ - 5 шт.                                                             СТ - 2 шт. 6300 кВА</v>
      </c>
      <c r="V16" s="20">
        <f>IF(V$2='[1]1 цех result'!$C18,'[1]1 цех_CapEx'!L18,0)</f>
        <v>0</v>
      </c>
      <c r="W16" s="20">
        <f>IF(V$2&gt;='[1]1 цех result'!$D18,'[1]1 цех_CapEx'!L18,0)</f>
        <v>0</v>
      </c>
      <c r="X16" s="20" t="str">
        <f>IF(V$2&gt;='[1]1 цех result'!$C18,$AK16,"")</f>
        <v>Установка:                                                                                                  РУ-6 кВ- 1 шт.                                                                        МВ-35 кВ - 5 шт.                                                             СТ - 2 шт. 6300 кВА</v>
      </c>
      <c r="Y16" s="20">
        <f>IF(Y$2='[1]1 цех result'!$C18,'[1]1 цех_CapEx'!M18,0)</f>
        <v>0</v>
      </c>
      <c r="Z16" s="20">
        <f>IF(Y$2&gt;='[1]1 цех result'!$D18,'[1]1 цех_CapEx'!M18,0)</f>
        <v>0</v>
      </c>
      <c r="AA16" s="20" t="str">
        <f>IF(Y$2&gt;='[1]1 цех result'!$C18,$AK16,"")</f>
        <v>Установка:                                                                                                  РУ-6 кВ- 1 шт.                                                                        МВ-35 кВ - 5 шт.                                                             СТ - 2 шт. 6300 кВА</v>
      </c>
      <c r="AB16" s="20">
        <f>IF(AB$2='[1]1 цех result'!$C18,'[1]1 цех_CapEx'!N18,0)</f>
        <v>0</v>
      </c>
      <c r="AC16" s="20">
        <f>IF(AB$2&gt;='[1]1 цех result'!$D18,'[1]1 цех_CapEx'!N18,0)</f>
        <v>0</v>
      </c>
      <c r="AD16" s="20" t="str">
        <f>IF(AB$2&gt;='[1]1 цех result'!$C18,$AK16,"")</f>
        <v>Установка:                                                                                                  РУ-6 кВ- 1 шт.                                                                        МВ-35 кВ - 5 шт.                                                             СТ - 2 шт. 6300 кВА</v>
      </c>
      <c r="AE16" s="20">
        <f>IF(AE$2='[1]1 цех result'!$C18,'[1]1 цех_CapEx'!O18,0)</f>
        <v>0</v>
      </c>
      <c r="AF16" s="20">
        <f>IF(AE$2&gt;='[1]1 цех result'!$D18,'[1]1 цех_CapEx'!O18,0)</f>
        <v>0</v>
      </c>
      <c r="AG16" s="20" t="str">
        <f>IF(AE$2&gt;='[1]1 цех result'!$C18,$AK16,"")</f>
        <v>Установка:                                                                                                  РУ-6 кВ- 1 шт.                                                                        МВ-35 кВ - 5 шт.                                                             СТ - 2 шт. 6300 кВА</v>
      </c>
      <c r="AH16" s="20">
        <f>IF(AH$2='[1]1 цех result'!$C18,'[1]1 цех_CapEx'!P18,0)</f>
        <v>0</v>
      </c>
      <c r="AI16" s="20">
        <f>IF(AH$2&gt;='[1]1 цех result'!$D18,'[1]1 цех_CapEx'!P18,0)</f>
        <v>0</v>
      </c>
      <c r="AJ16" s="20" t="str">
        <f>IF(AH$2&gt;='[1]1 цех result'!$C18,$AK16,"")</f>
        <v>Установка:                                                                                                  РУ-6 кВ- 1 шт.                                                                        МВ-35 кВ - 5 шт.                                                             СТ - 2 шт. 6300 кВА</v>
      </c>
      <c r="AK16" s="12" t="s">
        <v>50</v>
      </c>
      <c r="AL16" s="19"/>
      <c r="AM16" s="71">
        <f t="shared" si="0"/>
        <v>87000.3635206935</v>
      </c>
      <c r="AN16" s="71">
        <f>'[1]1 цех_CapEx'!$V18</f>
        <v>87000.3635206935</v>
      </c>
      <c r="AO16" s="71">
        <f t="shared" si="1"/>
        <v>0</v>
      </c>
      <c r="AP16" s="62" t="s">
        <v>185</v>
      </c>
      <c r="AQ16" s="79" t="s">
        <v>178</v>
      </c>
    </row>
    <row r="17" spans="1:43" ht="30">
      <c r="A17" s="78">
        <v>13</v>
      </c>
      <c r="B17" s="19" t="str">
        <f>'[1]1 цех_CapEx'!$B19</f>
        <v>ПС 35/6кВ 2х4000 кВА "Марьевская"</v>
      </c>
      <c r="C17" s="32">
        <f>'[1]1 цех_CapEx'!$W19</f>
        <v>1</v>
      </c>
      <c r="D17" s="20">
        <f>IF(D$2='[1]1 цех result'!$C19,'[1]1 цех_CapEx'!F19,0)</f>
        <v>0</v>
      </c>
      <c r="E17" s="20">
        <f>IF(D$2&gt;='[1]1 цех result'!$D19,'[1]1 цех_CapEx'!F19,0)</f>
        <v>0</v>
      </c>
      <c r="F17" s="20" t="str">
        <f>IF(D$2&gt;='[1]1 цех result'!$C19,$AK17,"")</f>
        <v/>
      </c>
      <c r="G17" s="20">
        <f>IF(G$2='[1]1 цех result'!$C19,'[1]1 цех_CapEx'!G19,0)</f>
        <v>0</v>
      </c>
      <c r="H17" s="20">
        <f>IF(G$2&gt;='[1]1 цех result'!$D19,'[1]1 цех_CapEx'!G19,0)</f>
        <v>0</v>
      </c>
      <c r="I17" s="20" t="str">
        <f>IF(G$2&gt;='[1]1 цех result'!$C19,$AK17,"")</f>
        <v/>
      </c>
      <c r="J17" s="20">
        <f>IF(J$2='[1]1 цех result'!$C19,'[1]1 цех_CapEx'!H19,0)</f>
        <v>0</v>
      </c>
      <c r="K17" s="20">
        <f>IF(J$2&gt;='[1]1 цех result'!$D19,'[1]1 цех_CapEx'!H19,0)</f>
        <v>0</v>
      </c>
      <c r="L17" s="20" t="str">
        <f>IF(J$2&gt;='[1]1 цех result'!$C19,$AK17,"")</f>
        <v/>
      </c>
      <c r="M17" s="20">
        <f>IF(M$2='[1]1 цех result'!$C19,'[1]1 цех_CapEx'!I19,0)</f>
        <v>1648.639554234192</v>
      </c>
      <c r="N17" s="20">
        <f>IF(M$2&gt;='[1]1 цех result'!$D19,'[1]1 цех_CapEx'!I19,0)</f>
        <v>0</v>
      </c>
      <c r="O17" s="20" t="str">
        <f>IF(M$2&gt;='[1]1 цех result'!$C19,$AK17,"")</f>
        <v>Установка:                                                                                 КРУН-6 кВ - 18 ячеек</v>
      </c>
      <c r="P17" s="20">
        <f>IF(P$2='[1]1 цех result'!$C19,'[1]1 цех_CapEx'!J19,0)</f>
        <v>0</v>
      </c>
      <c r="Q17" s="20">
        <f>IF(P$2&gt;='[1]1 цех result'!$D19,'[1]1 цех_CapEx'!J19,0)</f>
        <v>0</v>
      </c>
      <c r="R17" s="20" t="str">
        <f>IF(P$2&gt;='[1]1 цех result'!$C19,$AK17,"")</f>
        <v>Установка:                                                                                 КРУН-6 кВ - 18 ячеек</v>
      </c>
      <c r="S17" s="20">
        <f>IF(S$2='[1]1 цех result'!$C19,'[1]1 цех_CapEx'!K19,0)</f>
        <v>0</v>
      </c>
      <c r="T17" s="20">
        <f>IF(S$2&gt;='[1]1 цех result'!$D19,'[1]1 цех_CapEx'!K19,0)</f>
        <v>59724.589189024839</v>
      </c>
      <c r="U17" s="20" t="str">
        <f>IF(S$2&gt;='[1]1 цех result'!$C19,$AK17,"")</f>
        <v>Установка:                                                                                 КРУН-6 кВ - 18 ячеек</v>
      </c>
      <c r="V17" s="20">
        <f>IF(V$2='[1]1 цех result'!$C19,'[1]1 цех_CapEx'!L19,0)</f>
        <v>0</v>
      </c>
      <c r="W17" s="20">
        <f>IF(V$2&gt;='[1]1 цех result'!$D19,'[1]1 цех_CapEx'!L19,0)</f>
        <v>0</v>
      </c>
      <c r="X17" s="20" t="str">
        <f>IF(V$2&gt;='[1]1 цех result'!$C19,$AK17,"")</f>
        <v>Установка:                                                                                 КРУН-6 кВ - 18 ячеек</v>
      </c>
      <c r="Y17" s="20">
        <f>IF(Y$2='[1]1 цех result'!$C19,'[1]1 цех_CapEx'!M19,0)</f>
        <v>0</v>
      </c>
      <c r="Z17" s="20">
        <f>IF(Y$2&gt;='[1]1 цех result'!$D19,'[1]1 цех_CapEx'!M19,0)</f>
        <v>0</v>
      </c>
      <c r="AA17" s="20" t="str">
        <f>IF(Y$2&gt;='[1]1 цех result'!$C19,$AK17,"")</f>
        <v>Установка:                                                                                 КРУН-6 кВ - 18 ячеек</v>
      </c>
      <c r="AB17" s="20">
        <f>IF(AB$2='[1]1 цех result'!$C19,'[1]1 цех_CapEx'!N19,0)</f>
        <v>0</v>
      </c>
      <c r="AC17" s="20">
        <f>IF(AB$2&gt;='[1]1 цех result'!$D19,'[1]1 цех_CapEx'!N19,0)</f>
        <v>0</v>
      </c>
      <c r="AD17" s="20" t="str">
        <f>IF(AB$2&gt;='[1]1 цех result'!$C19,$AK17,"")</f>
        <v>Установка:                                                                                 КРУН-6 кВ - 18 ячеек</v>
      </c>
      <c r="AE17" s="20">
        <f>IF(AE$2='[1]1 цех result'!$C19,'[1]1 цех_CapEx'!O19,0)</f>
        <v>0</v>
      </c>
      <c r="AF17" s="20">
        <f>IF(AE$2&gt;='[1]1 цех result'!$D19,'[1]1 цех_CapEx'!O19,0)</f>
        <v>0</v>
      </c>
      <c r="AG17" s="20" t="str">
        <f>IF(AE$2&gt;='[1]1 цех result'!$C19,$AK17,"")</f>
        <v>Установка:                                                                                 КРУН-6 кВ - 18 ячеек</v>
      </c>
      <c r="AH17" s="20">
        <f>IF(AH$2='[1]1 цех result'!$C19,'[1]1 цех_CapEx'!P19,0)</f>
        <v>0</v>
      </c>
      <c r="AI17" s="20">
        <f>IF(AH$2&gt;='[1]1 цех result'!$D19,'[1]1 цех_CapEx'!P19,0)</f>
        <v>0</v>
      </c>
      <c r="AJ17" s="20" t="str">
        <f>IF(AH$2&gt;='[1]1 цех result'!$C19,$AK17,"")</f>
        <v>Установка:                                                                                 КРУН-6 кВ - 18 ячеек</v>
      </c>
      <c r="AK17" s="12" t="s">
        <v>51</v>
      </c>
      <c r="AL17" s="19"/>
      <c r="AM17" s="71">
        <f t="shared" si="0"/>
        <v>61373.228743259031</v>
      </c>
      <c r="AN17" s="71">
        <f>'[1]1 цех_CapEx'!$V19</f>
        <v>61373.228743259031</v>
      </c>
      <c r="AO17" s="71">
        <f t="shared" si="1"/>
        <v>0</v>
      </c>
      <c r="AP17" s="62" t="s">
        <v>186</v>
      </c>
      <c r="AQ17" s="79" t="s">
        <v>178</v>
      </c>
    </row>
    <row r="18" spans="1:43" ht="75">
      <c r="A18" s="78">
        <v>14</v>
      </c>
      <c r="B18" s="19" t="str">
        <f>'[1]1 цех_CapEx'!$B20</f>
        <v>ПС 35/6кВ 1х4000 кВА "Ново-Ключевская"</v>
      </c>
      <c r="C18" s="32">
        <f>'[1]1 цех_CapEx'!$W20</f>
        <v>1</v>
      </c>
      <c r="D18" s="20">
        <f>IF(D$2='[1]1 цех result'!$C20,'[1]1 цех_CapEx'!F20,0)</f>
        <v>0</v>
      </c>
      <c r="E18" s="20">
        <f>IF(D$2&gt;='[1]1 цех result'!$D20,'[1]1 цех_CapEx'!F20,0)</f>
        <v>0</v>
      </c>
      <c r="F18" s="20" t="str">
        <f>IF(D$2&gt;='[1]1 цех result'!$C20,$AK18,"")</f>
        <v/>
      </c>
      <c r="G18" s="20">
        <f>IF(G$2='[1]1 цех result'!$C20,'[1]1 цех_CapEx'!G20,0)</f>
        <v>0</v>
      </c>
      <c r="H18" s="20">
        <f>IF(G$2&gt;='[1]1 цех result'!$D20,'[1]1 цех_CapEx'!G20,0)</f>
        <v>0</v>
      </c>
      <c r="I18" s="20" t="str">
        <f>IF(G$2&gt;='[1]1 цех result'!$C20,$AK18,"")</f>
        <v/>
      </c>
      <c r="J18" s="20">
        <f>IF(J$2='[1]1 цех result'!$C20,'[1]1 цех_CapEx'!H20,0)</f>
        <v>0</v>
      </c>
      <c r="K18" s="20">
        <f>IF(J$2&gt;='[1]1 цех result'!$D20,'[1]1 цех_CapEx'!H20,0)</f>
        <v>0</v>
      </c>
      <c r="L18" s="20" t="str">
        <f>IF(J$2&gt;='[1]1 цех result'!$C20,$AK18,"")</f>
        <v/>
      </c>
      <c r="M18" s="20">
        <f>IF(M$2='[1]1 цех result'!$C20,'[1]1 цех_CapEx'!I20,0)</f>
        <v>0</v>
      </c>
      <c r="N18" s="20">
        <f>IF(M$2&gt;='[1]1 цех result'!$D20,'[1]1 цех_CapEx'!I20,0)</f>
        <v>0</v>
      </c>
      <c r="O18" s="20" t="str">
        <f>IF(M$2&gt;='[1]1 цех result'!$C20,$AK18,"")</f>
        <v/>
      </c>
      <c r="P18" s="20">
        <f>IF(P$2='[1]1 цех result'!$C20,'[1]1 цех_CapEx'!J20,0)</f>
        <v>962.73559659674038</v>
      </c>
      <c r="Q18" s="20">
        <f>IF(P$2&gt;='[1]1 цех result'!$D20,'[1]1 цех_CapEx'!J20,0)</f>
        <v>0</v>
      </c>
      <c r="R18" s="20" t="str">
        <f>IF(P$2&gt;='[1]1 цех result'!$C20,$AK18,"")</f>
        <v>КРУН-6 кВ</v>
      </c>
      <c r="S18" s="20">
        <f>IF(S$2='[1]1 цех result'!$C20,'[1]1 цех_CapEx'!K20,0)</f>
        <v>0</v>
      </c>
      <c r="T18" s="20">
        <f>IF(S$2&gt;='[1]1 цех result'!$D20,'[1]1 цех_CapEx'!K20,0)</f>
        <v>32840.515759242473</v>
      </c>
      <c r="U18" s="20" t="str">
        <f>IF(S$2&gt;='[1]1 цех result'!$C20,$AK18,"")</f>
        <v>КРУН-6 кВ</v>
      </c>
      <c r="V18" s="20">
        <f>IF(V$2='[1]1 цех result'!$C20,'[1]1 цех_CapEx'!L20,0)</f>
        <v>0</v>
      </c>
      <c r="W18" s="20">
        <f>IF(V$2&gt;='[1]1 цех result'!$D20,'[1]1 цех_CapEx'!L20,0)</f>
        <v>0</v>
      </c>
      <c r="X18" s="20" t="str">
        <f>IF(V$2&gt;='[1]1 цех result'!$C20,$AK18,"")</f>
        <v>КРУН-6 кВ</v>
      </c>
      <c r="Y18" s="20">
        <f>IF(Y$2='[1]1 цех result'!$C20,'[1]1 цех_CapEx'!M20,0)</f>
        <v>0</v>
      </c>
      <c r="Z18" s="20">
        <f>IF(Y$2&gt;='[1]1 цех result'!$D20,'[1]1 цех_CapEx'!M20,0)</f>
        <v>0</v>
      </c>
      <c r="AA18" s="20" t="str">
        <f>IF(Y$2&gt;='[1]1 цех result'!$C20,$AK18,"")</f>
        <v>КРУН-6 кВ</v>
      </c>
      <c r="AB18" s="20">
        <f>IF(AB$2='[1]1 цех result'!$C20,'[1]1 цех_CapEx'!N20,0)</f>
        <v>0</v>
      </c>
      <c r="AC18" s="20">
        <f>IF(AB$2&gt;='[1]1 цех result'!$D20,'[1]1 цех_CapEx'!N20,0)</f>
        <v>0</v>
      </c>
      <c r="AD18" s="20" t="str">
        <f>IF(AB$2&gt;='[1]1 цех result'!$C20,$AK18,"")</f>
        <v>КРУН-6 кВ</v>
      </c>
      <c r="AE18" s="20">
        <f>IF(AE$2='[1]1 цех result'!$C20,'[1]1 цех_CapEx'!O20,0)</f>
        <v>0</v>
      </c>
      <c r="AF18" s="20">
        <f>IF(AE$2&gt;='[1]1 цех result'!$D20,'[1]1 цех_CapEx'!O20,0)</f>
        <v>0</v>
      </c>
      <c r="AG18" s="20" t="str">
        <f>IF(AE$2&gt;='[1]1 цех result'!$C20,$AK18,"")</f>
        <v>КРУН-6 кВ</v>
      </c>
      <c r="AH18" s="20">
        <f>IF(AH$2='[1]1 цех result'!$C20,'[1]1 цех_CapEx'!P20,0)</f>
        <v>0</v>
      </c>
      <c r="AI18" s="20">
        <f>IF(AH$2&gt;='[1]1 цех result'!$D20,'[1]1 цех_CapEx'!P20,0)</f>
        <v>0</v>
      </c>
      <c r="AJ18" s="20" t="str">
        <f>IF(AH$2&gt;='[1]1 цех result'!$C20,$AK18,"")</f>
        <v>КРУН-6 кВ</v>
      </c>
      <c r="AK18" s="12" t="s">
        <v>52</v>
      </c>
      <c r="AL18" s="19"/>
      <c r="AM18" s="71">
        <f t="shared" si="0"/>
        <v>33803.251355839217</v>
      </c>
      <c r="AN18" s="71">
        <f>'[1]1 цех_CapEx'!$V20</f>
        <v>33803.251355839217</v>
      </c>
      <c r="AO18" s="71">
        <f t="shared" si="1"/>
        <v>0</v>
      </c>
      <c r="AP18" s="55" t="s">
        <v>187</v>
      </c>
      <c r="AQ18" s="79" t="s">
        <v>178</v>
      </c>
    </row>
    <row r="19" spans="1:43" ht="45">
      <c r="A19" s="78">
        <v>15</v>
      </c>
      <c r="B19" s="19" t="str">
        <f>'[1]1 цех_CapEx'!$B21</f>
        <v>ПС 35/6кВ 2х10000 кВА "Промысловая"</v>
      </c>
      <c r="C19" s="32">
        <f>'[1]1 цех_CapEx'!$W21</f>
        <v>1</v>
      </c>
      <c r="D19" s="20">
        <f>IF(D$2='[1]1 цех result'!$C21,'[1]1 цех_CapEx'!F21,0)</f>
        <v>0</v>
      </c>
      <c r="E19" s="20">
        <f>IF(D$2&gt;='[1]1 цех result'!$D21,'[1]1 цех_CapEx'!F21,0)</f>
        <v>0</v>
      </c>
      <c r="F19" s="20" t="str">
        <f>IF(D$2&gt;='[1]1 цех result'!$C21,$AK19,"")</f>
        <v/>
      </c>
      <c r="G19" s="20">
        <f>IF(G$2='[1]1 цех result'!$C21,'[1]1 цех_CapEx'!G21,0)</f>
        <v>846.47686667999994</v>
      </c>
      <c r="H19" s="20">
        <f>IF(G$2&gt;='[1]1 цех result'!$D21,'[1]1 цех_CapEx'!G21,0)</f>
        <v>0</v>
      </c>
      <c r="I19" s="20" t="str">
        <f>IF(G$2&gt;='[1]1 цех result'!$C21,$AK19,"")</f>
        <v>Замена:
 МВ-35 на ВВ-35- 4шт. 1000 А</v>
      </c>
      <c r="J19" s="20">
        <f>IF(J$2='[1]1 цех result'!$C21,'[1]1 цех_CapEx'!H21,0)</f>
        <v>0</v>
      </c>
      <c r="K19" s="20">
        <f>IF(J$2&gt;='[1]1 цех result'!$D21,'[1]1 цех_CapEx'!H21,0)</f>
        <v>0</v>
      </c>
      <c r="L19" s="20" t="str">
        <f>IF(J$2&gt;='[1]1 цех result'!$C21,$AK19,"")</f>
        <v>Замена:
 МВ-35 на ВВ-35- 4шт. 1000 А</v>
      </c>
      <c r="M19" s="20">
        <f>IF(M$2='[1]1 цех result'!$C21,'[1]1 цех_CapEx'!I21,0)</f>
        <v>0</v>
      </c>
      <c r="N19" s="20">
        <f>IF(M$2&gt;='[1]1 цех result'!$D21,'[1]1 цех_CapEx'!I21,0)</f>
        <v>0</v>
      </c>
      <c r="O19" s="20" t="str">
        <f>IF(M$2&gt;='[1]1 цех result'!$C21,$AK19,"")</f>
        <v>Замена:
 МВ-35 на ВВ-35- 4шт. 1000 А</v>
      </c>
      <c r="P19" s="20">
        <f>IF(P$2='[1]1 цех result'!$C21,'[1]1 цех_CapEx'!J21,0)</f>
        <v>0</v>
      </c>
      <c r="Q19" s="20">
        <f>IF(P$2&gt;='[1]1 цех result'!$D21,'[1]1 цех_CapEx'!J21,0)</f>
        <v>0</v>
      </c>
      <c r="R19" s="20" t="str">
        <f>IF(P$2&gt;='[1]1 цех result'!$C21,$AK19,"")</f>
        <v>Замена:
 МВ-35 на ВВ-35- 4шт. 1000 А</v>
      </c>
      <c r="S19" s="20">
        <f>IF(S$2='[1]1 цех result'!$C21,'[1]1 цех_CapEx'!K21,0)</f>
        <v>0</v>
      </c>
      <c r="T19" s="20">
        <f>IF(S$2&gt;='[1]1 цех result'!$D21,'[1]1 цех_CapEx'!K21,0)</f>
        <v>0</v>
      </c>
      <c r="U19" s="20" t="str">
        <f>IF(S$2&gt;='[1]1 цех result'!$C21,$AK19,"")</f>
        <v>Замена:
 МВ-35 на ВВ-35- 4шт. 1000 А</v>
      </c>
      <c r="V19" s="20">
        <f>IF(V$2='[1]1 цех result'!$C21,'[1]1 цех_CapEx'!L21,0)</f>
        <v>0</v>
      </c>
      <c r="W19" s="20">
        <f>IF(V$2&gt;='[1]1 цех result'!$D21,'[1]1 цех_CapEx'!L21,0)</f>
        <v>35939.007986743265</v>
      </c>
      <c r="X19" s="20" t="str">
        <f>IF(V$2&gt;='[1]1 цех result'!$C21,$AK19,"")</f>
        <v>Замена:
 МВ-35 на ВВ-35- 4шт. 1000 А</v>
      </c>
      <c r="Y19" s="20">
        <f>IF(Y$2='[1]1 цех result'!$C21,'[1]1 цех_CapEx'!M21,0)</f>
        <v>0</v>
      </c>
      <c r="Z19" s="20">
        <f>IF(Y$2&gt;='[1]1 цех result'!$D21,'[1]1 цех_CapEx'!M21,0)</f>
        <v>0</v>
      </c>
      <c r="AA19" s="20" t="str">
        <f>IF(Y$2&gt;='[1]1 цех result'!$C21,$AK19,"")</f>
        <v>Замена:
 МВ-35 на ВВ-35- 4шт. 1000 А</v>
      </c>
      <c r="AB19" s="20">
        <f>IF(AB$2='[1]1 цех result'!$C21,'[1]1 цех_CapEx'!N21,0)</f>
        <v>0</v>
      </c>
      <c r="AC19" s="20">
        <f>IF(AB$2&gt;='[1]1 цех result'!$D21,'[1]1 цех_CapEx'!N21,0)</f>
        <v>0</v>
      </c>
      <c r="AD19" s="20" t="str">
        <f>IF(AB$2&gt;='[1]1 цех result'!$C21,$AK19,"")</f>
        <v>Замена:
 МВ-35 на ВВ-35- 4шт. 1000 А</v>
      </c>
      <c r="AE19" s="20">
        <f>IF(AE$2='[1]1 цех result'!$C21,'[1]1 цех_CapEx'!O21,0)</f>
        <v>0</v>
      </c>
      <c r="AF19" s="20">
        <f>IF(AE$2&gt;='[1]1 цех result'!$D21,'[1]1 цех_CapEx'!O21,0)</f>
        <v>0</v>
      </c>
      <c r="AG19" s="20" t="str">
        <f>IF(AE$2&gt;='[1]1 цех result'!$C21,$AK19,"")</f>
        <v>Замена:
 МВ-35 на ВВ-35- 4шт. 1000 А</v>
      </c>
      <c r="AH19" s="20">
        <f>IF(AH$2='[1]1 цех result'!$C21,'[1]1 цех_CapEx'!P21,0)</f>
        <v>0</v>
      </c>
      <c r="AI19" s="20">
        <f>IF(AH$2&gt;='[1]1 цех result'!$D21,'[1]1 цех_CapEx'!P21,0)</f>
        <v>0</v>
      </c>
      <c r="AJ19" s="20" t="str">
        <f>IF(AH$2&gt;='[1]1 цех result'!$C21,$AK19,"")</f>
        <v>Замена:
 МВ-35 на ВВ-35- 4шт. 1000 А</v>
      </c>
      <c r="AK19" s="12" t="s">
        <v>54</v>
      </c>
      <c r="AL19" s="19"/>
      <c r="AM19" s="71">
        <f t="shared" si="0"/>
        <v>36785.484853423266</v>
      </c>
      <c r="AN19" s="71">
        <f>'[1]1 цех_CapEx'!$V21</f>
        <v>36785.484853423266</v>
      </c>
      <c r="AO19" s="71">
        <f t="shared" si="1"/>
        <v>0</v>
      </c>
      <c r="AP19" s="276" t="s">
        <v>180</v>
      </c>
      <c r="AQ19" s="277" t="s">
        <v>178</v>
      </c>
    </row>
    <row r="20" spans="1:43" ht="30">
      <c r="A20" s="78">
        <v>16</v>
      </c>
      <c r="B20" s="19" t="str">
        <f>'[1]1 цех_CapEx'!$B22</f>
        <v>ПС 35/6кВ 2х10000 кВА "Промысловая" (замена тр-ров)</v>
      </c>
      <c r="C20" s="32">
        <f>'[1]1 цех_CapEx'!$W22</f>
        <v>1</v>
      </c>
      <c r="D20" s="20">
        <f>IF(D$2='[1]1 цех result'!$C22,'[1]1 цех_CapEx'!F22,0)</f>
        <v>0</v>
      </c>
      <c r="E20" s="20">
        <f>IF(D$2&gt;='[1]1 цех result'!$D22,'[1]1 цех_CapEx'!F22,0)</f>
        <v>0</v>
      </c>
      <c r="F20" s="20" t="str">
        <f>IF(D$2&gt;='[1]1 цех result'!$C22,$AK20,"")</f>
        <v/>
      </c>
      <c r="G20" s="20">
        <f>IF(G$2='[1]1 цех result'!$C22,'[1]1 цех_CapEx'!G22,0)</f>
        <v>1019.59088472</v>
      </c>
      <c r="H20" s="20">
        <f>IF(G$2&gt;='[1]1 цех result'!$D22,'[1]1 цех_CapEx'!G22,0)</f>
        <v>0</v>
      </c>
      <c r="I20" s="20" t="str">
        <f>IF(G$2&gt;='[1]1 цех result'!$C22,$AK20,"")</f>
        <v>Замена:Т-1,2-Т 2х4000 кВА</v>
      </c>
      <c r="J20" s="20">
        <f>IF(J$2='[1]1 цех result'!$C22,'[1]1 цех_CapEx'!H22,0)</f>
        <v>0</v>
      </c>
      <c r="K20" s="20">
        <f>IF(J$2&gt;='[1]1 цех result'!$D22,'[1]1 цех_CapEx'!H22,0)</f>
        <v>0</v>
      </c>
      <c r="L20" s="20" t="str">
        <f>IF(J$2&gt;='[1]1 цех result'!$C22,$AK20,"")</f>
        <v>Замена:Т-1,2-Т 2х4000 кВА</v>
      </c>
      <c r="M20" s="20">
        <f>IF(M$2='[1]1 цех result'!$C22,'[1]1 цех_CapEx'!I22,0)</f>
        <v>0</v>
      </c>
      <c r="N20" s="20">
        <f>IF(M$2&gt;='[1]1 цех result'!$D22,'[1]1 цех_CapEx'!I22,0)</f>
        <v>0</v>
      </c>
      <c r="O20" s="20" t="str">
        <f>IF(M$2&gt;='[1]1 цех result'!$C22,$AK20,"")</f>
        <v>Замена:Т-1,2-Т 2х4000 кВА</v>
      </c>
      <c r="P20" s="20">
        <f>IF(P$2='[1]1 цех result'!$C22,'[1]1 цех_CapEx'!J22,0)</f>
        <v>0</v>
      </c>
      <c r="Q20" s="20">
        <f>IF(P$2&gt;='[1]1 цех result'!$D22,'[1]1 цех_CapEx'!J22,0)</f>
        <v>0</v>
      </c>
      <c r="R20" s="20" t="str">
        <f>IF(P$2&gt;='[1]1 цех result'!$C22,$AK20,"")</f>
        <v>Замена:Т-1,2-Т 2х4000 кВА</v>
      </c>
      <c r="S20" s="20">
        <f>IF(S$2='[1]1 цех result'!$C22,'[1]1 цех_CapEx'!K22,0)</f>
        <v>0</v>
      </c>
      <c r="T20" s="20">
        <f>IF(S$2&gt;='[1]1 цех result'!$D22,'[1]1 цех_CapEx'!K22,0)</f>
        <v>0</v>
      </c>
      <c r="U20" s="20" t="str">
        <f>IF(S$2&gt;='[1]1 цех result'!$C22,$AK20,"")</f>
        <v>Замена:Т-1,2-Т 2х4000 кВА</v>
      </c>
      <c r="V20" s="20">
        <f>IF(V$2='[1]1 цех result'!$C22,'[1]1 цех_CapEx'!L22,0)</f>
        <v>0</v>
      </c>
      <c r="W20" s="20">
        <f>IF(V$2&gt;='[1]1 цех result'!$D22,'[1]1 цех_CapEx'!L22,0)</f>
        <v>43288.938412318326</v>
      </c>
      <c r="X20" s="20" t="str">
        <f>IF(V$2&gt;='[1]1 цех result'!$C22,$AK20,"")</f>
        <v>Замена:Т-1,2-Т 2х4000 кВА</v>
      </c>
      <c r="Y20" s="20">
        <f>IF(Y$2='[1]1 цех result'!$C22,'[1]1 цех_CapEx'!M22,0)</f>
        <v>0</v>
      </c>
      <c r="Z20" s="20">
        <f>IF(Y$2&gt;='[1]1 цех result'!$D22,'[1]1 цех_CapEx'!M22,0)</f>
        <v>0</v>
      </c>
      <c r="AA20" s="20" t="str">
        <f>IF(Y$2&gt;='[1]1 цех result'!$C22,$AK20,"")</f>
        <v>Замена:Т-1,2-Т 2х4000 кВА</v>
      </c>
      <c r="AB20" s="20">
        <f>IF(AB$2='[1]1 цех result'!$C22,'[1]1 цех_CapEx'!N22,0)</f>
        <v>0</v>
      </c>
      <c r="AC20" s="20">
        <f>IF(AB$2&gt;='[1]1 цех result'!$D22,'[1]1 цех_CapEx'!N22,0)</f>
        <v>0</v>
      </c>
      <c r="AD20" s="20" t="str">
        <f>IF(AB$2&gt;='[1]1 цех result'!$C22,$AK20,"")</f>
        <v>Замена:Т-1,2-Т 2х4000 кВА</v>
      </c>
      <c r="AE20" s="20">
        <f>IF(AE$2='[1]1 цех result'!$C22,'[1]1 цех_CapEx'!O22,0)</f>
        <v>0</v>
      </c>
      <c r="AF20" s="20">
        <f>IF(AE$2&gt;='[1]1 цех result'!$D22,'[1]1 цех_CapEx'!O22,0)</f>
        <v>0</v>
      </c>
      <c r="AG20" s="20" t="str">
        <f>IF(AE$2&gt;='[1]1 цех result'!$C22,$AK20,"")</f>
        <v>Замена:Т-1,2-Т 2х4000 кВА</v>
      </c>
      <c r="AH20" s="20">
        <f>IF(AH$2='[1]1 цех result'!$C22,'[1]1 цех_CapEx'!P22,0)</f>
        <v>0</v>
      </c>
      <c r="AI20" s="20">
        <f>IF(AH$2&gt;='[1]1 цех result'!$D22,'[1]1 цех_CapEx'!P22,0)</f>
        <v>0</v>
      </c>
      <c r="AJ20" s="20" t="str">
        <f>IF(AH$2&gt;='[1]1 цех result'!$C22,$AK20,"")</f>
        <v>Замена:Т-1,2-Т 2х4000 кВА</v>
      </c>
      <c r="AK20" s="12" t="s">
        <v>55</v>
      </c>
      <c r="AL20" s="19"/>
      <c r="AM20" s="71">
        <f t="shared" si="0"/>
        <v>44308.529297038323</v>
      </c>
      <c r="AN20" s="71">
        <f>'[1]1 цех_CapEx'!$V22</f>
        <v>44308.529297038323</v>
      </c>
      <c r="AO20" s="71">
        <f t="shared" si="1"/>
        <v>0</v>
      </c>
      <c r="AP20" s="276"/>
      <c r="AQ20" s="277"/>
    </row>
    <row r="21" spans="1:43" ht="150">
      <c r="A21" s="78">
        <v>17</v>
      </c>
      <c r="B21" s="19" t="str">
        <f>'[1]1 цех_CapEx'!$B23</f>
        <v>ПС 35/6кВ 1х2500 кВА "Семеновская"</v>
      </c>
      <c r="C21" s="32">
        <f>'[1]1 цех_CapEx'!$W23</f>
        <v>1</v>
      </c>
      <c r="D21" s="20">
        <f>IF(D$2='[1]1 цех result'!$C23,'[1]1 цех_CapEx'!F23,0)</f>
        <v>0</v>
      </c>
      <c r="E21" s="20">
        <f>IF(D$2&gt;='[1]1 цех result'!$D23,'[1]1 цех_CapEx'!F23,0)</f>
        <v>0</v>
      </c>
      <c r="F21" s="20" t="str">
        <f>IF(D$2&gt;='[1]1 цех result'!$C23,$AK21,"")</f>
        <v/>
      </c>
      <c r="G21" s="20">
        <f>IF(G$2='[1]1 цех result'!$C23,'[1]1 цех_CapEx'!G23,0)</f>
        <v>1480.1371242600001</v>
      </c>
      <c r="H21" s="20">
        <f>IF(G$2&gt;='[1]1 цех result'!$D23,'[1]1 цех_CapEx'!G23,0)</f>
        <v>0</v>
      </c>
      <c r="I21" s="20" t="str">
        <f>IF(G$2&gt;='[1]1 цех result'!$C23,$AK21,"")</f>
        <v>Реконструкция ПС в 2-х трансформаторную.
Т-2-Т 35/6 кВ мощностью 2500 кВА - 1 шт. СВВ-35 кВ - 1 шт., ВВ-35 кВ - 1 шт. 1000 А 
ОРУ-35 по схеме 35-5Н. КРУН-6 кВ 2 секции</v>
      </c>
      <c r="J21" s="20">
        <f>IF(J$2='[1]1 цех result'!$C23,'[1]1 цех_CapEx'!H23,0)</f>
        <v>0</v>
      </c>
      <c r="K21" s="20">
        <f>IF(J$2&gt;='[1]1 цех result'!$D23,'[1]1 цех_CapEx'!H23,0)</f>
        <v>0</v>
      </c>
      <c r="L21" s="20" t="str">
        <f>IF(J$2&gt;='[1]1 цех result'!$C23,$AK21,"")</f>
        <v>Реконструкция ПС в 2-х трансформаторную.
Т-2-Т 35/6 кВ мощностью 2500 кВА - 1 шт. СВВ-35 кВ - 1 шт., ВВ-35 кВ - 1 шт. 1000 А 
ОРУ-35 по схеме 35-5Н. КРУН-6 кВ 2 секции</v>
      </c>
      <c r="M21" s="20">
        <f>IF(M$2='[1]1 цех result'!$C23,'[1]1 цех_CapEx'!I23,0)</f>
        <v>0</v>
      </c>
      <c r="N21" s="20">
        <f>IF(M$2&gt;='[1]1 цех result'!$D23,'[1]1 цех_CapEx'!I23,0)</f>
        <v>0</v>
      </c>
      <c r="O21" s="20" t="str">
        <f>IF(M$2&gt;='[1]1 цех result'!$C23,$AK21,"")</f>
        <v>Реконструкция ПС в 2-х трансформаторную.
Т-2-Т 35/6 кВ мощностью 2500 кВА - 1 шт. СВВ-35 кВ - 1 шт., ВВ-35 кВ - 1 шт. 1000 А 
ОРУ-35 по схеме 35-5Н. КРУН-6 кВ 2 секции</v>
      </c>
      <c r="P21" s="20">
        <f>IF(P$2='[1]1 цех result'!$C23,'[1]1 цех_CapEx'!J23,0)</f>
        <v>0</v>
      </c>
      <c r="Q21" s="20">
        <f>IF(P$2&gt;='[1]1 цех result'!$D23,'[1]1 цех_CapEx'!J23,0)</f>
        <v>0</v>
      </c>
      <c r="R21" s="20" t="str">
        <f>IF(P$2&gt;='[1]1 цех result'!$C23,$AK21,"")</f>
        <v>Реконструкция ПС в 2-х трансформаторную.
Т-2-Т 35/6 кВ мощностью 2500 кВА - 1 шт. СВВ-35 кВ - 1 шт., ВВ-35 кВ - 1 шт. 1000 А 
ОРУ-35 по схеме 35-5Н. КРУН-6 кВ 2 секции</v>
      </c>
      <c r="S21" s="20">
        <f>IF(S$2='[1]1 цех result'!$C23,'[1]1 цех_CapEx'!K23,0)</f>
        <v>0</v>
      </c>
      <c r="T21" s="20">
        <f>IF(S$2&gt;='[1]1 цех result'!$D23,'[1]1 цех_CapEx'!K23,0)</f>
        <v>59849.929608424201</v>
      </c>
      <c r="U21" s="20" t="str">
        <f>IF(S$2&gt;='[1]1 цех result'!$C23,$AK21,"")</f>
        <v>Реконструкция ПС в 2-х трансформаторную.
Т-2-Т 35/6 кВ мощностью 2500 кВА - 1 шт. СВВ-35 кВ - 1 шт., ВВ-35 кВ - 1 шт. 1000 А 
ОРУ-35 по схеме 35-5Н. КРУН-6 кВ 2 секции</v>
      </c>
      <c r="V21" s="20">
        <f>IF(V$2='[1]1 цех result'!$C23,'[1]1 цех_CapEx'!L23,0)</f>
        <v>0</v>
      </c>
      <c r="W21" s="20">
        <f>IF(V$2&gt;='[1]1 цех result'!$D23,'[1]1 цех_CapEx'!L23,0)</f>
        <v>0</v>
      </c>
      <c r="X21" s="20" t="str">
        <f>IF(V$2&gt;='[1]1 цех result'!$C23,$AK21,"")</f>
        <v>Реконструкция ПС в 2-х трансформаторную.
Т-2-Т 35/6 кВ мощностью 2500 кВА - 1 шт. СВВ-35 кВ - 1 шт., ВВ-35 кВ - 1 шт. 1000 А 
ОРУ-35 по схеме 35-5Н. КРУН-6 кВ 2 секции</v>
      </c>
      <c r="Y21" s="20">
        <f>IF(Y$2='[1]1 цех result'!$C23,'[1]1 цех_CapEx'!M23,0)</f>
        <v>0</v>
      </c>
      <c r="Z21" s="20">
        <f>IF(Y$2&gt;='[1]1 цех result'!$D23,'[1]1 цех_CapEx'!M23,0)</f>
        <v>0</v>
      </c>
      <c r="AA21" s="20" t="str">
        <f>IF(Y$2&gt;='[1]1 цех result'!$C23,$AK21,"")</f>
        <v>Реконструкция ПС в 2-х трансформаторную.
Т-2-Т 35/6 кВ мощностью 2500 кВА - 1 шт. СВВ-35 кВ - 1 шт., ВВ-35 кВ - 1 шт. 1000 А 
ОРУ-35 по схеме 35-5Н. КРУН-6 кВ 2 секции</v>
      </c>
      <c r="AB21" s="20">
        <f>IF(AB$2='[1]1 цех result'!$C23,'[1]1 цех_CapEx'!N23,0)</f>
        <v>0</v>
      </c>
      <c r="AC21" s="20">
        <f>IF(AB$2&gt;='[1]1 цех result'!$D23,'[1]1 цех_CapEx'!N23,0)</f>
        <v>0</v>
      </c>
      <c r="AD21" s="20" t="str">
        <f>IF(AB$2&gt;='[1]1 цех result'!$C23,$AK21,"")</f>
        <v>Реконструкция ПС в 2-х трансформаторную.
Т-2-Т 35/6 кВ мощностью 2500 кВА - 1 шт. СВВ-35 кВ - 1 шт., ВВ-35 кВ - 1 шт. 1000 А 
ОРУ-35 по схеме 35-5Н. КРУН-6 кВ 2 секции</v>
      </c>
      <c r="AE21" s="20">
        <f>IF(AE$2='[1]1 цех result'!$C23,'[1]1 цех_CapEx'!O23,0)</f>
        <v>0</v>
      </c>
      <c r="AF21" s="20">
        <f>IF(AE$2&gt;='[1]1 цех result'!$D23,'[1]1 цех_CapEx'!O23,0)</f>
        <v>0</v>
      </c>
      <c r="AG21" s="20" t="str">
        <f>IF(AE$2&gt;='[1]1 цех result'!$C23,$AK21,"")</f>
        <v>Реконструкция ПС в 2-х трансформаторную.
Т-2-Т 35/6 кВ мощностью 2500 кВА - 1 шт. СВВ-35 кВ - 1 шт., ВВ-35 кВ - 1 шт. 1000 А 
ОРУ-35 по схеме 35-5Н. КРУН-6 кВ 2 секции</v>
      </c>
      <c r="AH21" s="20">
        <f>IF(AH$2='[1]1 цех result'!$C23,'[1]1 цех_CapEx'!P23,0)</f>
        <v>0</v>
      </c>
      <c r="AI21" s="20">
        <f>IF(AH$2&gt;='[1]1 цех result'!$D23,'[1]1 цех_CapEx'!P23,0)</f>
        <v>0</v>
      </c>
      <c r="AJ21" s="20" t="str">
        <f>IF(AH$2&gt;='[1]1 цех result'!$C23,$AK21,"")</f>
        <v>Реконструкция ПС в 2-х трансформаторную.
Т-2-Т 35/6 кВ мощностью 2500 кВА - 1 шт. СВВ-35 кВ - 1 шт., ВВ-35 кВ - 1 шт. 1000 А 
ОРУ-35 по схеме 35-5Н. КРУН-6 кВ 2 секции</v>
      </c>
      <c r="AK21" s="12" t="s">
        <v>59</v>
      </c>
      <c r="AL21" s="19"/>
      <c r="AM21" s="71">
        <f t="shared" si="0"/>
        <v>61330.066732684201</v>
      </c>
      <c r="AN21" s="71">
        <f>'[1]1 цех_CapEx'!$V23</f>
        <v>61330.066732684201</v>
      </c>
      <c r="AO21" s="71">
        <f t="shared" si="1"/>
        <v>0</v>
      </c>
      <c r="AP21" s="62" t="s">
        <v>188</v>
      </c>
      <c r="AQ21" s="79" t="s">
        <v>178</v>
      </c>
    </row>
    <row r="22" spans="1:43" ht="90">
      <c r="A22" s="78">
        <v>18</v>
      </c>
      <c r="B22" s="19" t="str">
        <f>'[1]1 цех_CapEx'!$B24</f>
        <v>ПС 35/6кВ 1х4000 кВА "Хилки"</v>
      </c>
      <c r="C22" s="32">
        <f>'[1]1 цех_CapEx'!$W24</f>
        <v>1</v>
      </c>
      <c r="D22" s="20">
        <f>IF(D$2='[1]1 цех result'!$C24,'[1]1 цех_CapEx'!F24,0)</f>
        <v>0</v>
      </c>
      <c r="E22" s="20">
        <f>IF(D$2&gt;='[1]1 цех result'!$D24,'[1]1 цех_CapEx'!F24,0)</f>
        <v>0</v>
      </c>
      <c r="F22" s="20" t="str">
        <f>IF(D$2&gt;='[1]1 цех result'!$C24,$AK22,"")</f>
        <v/>
      </c>
      <c r="G22" s="20">
        <f>IF(G$2='[1]1 цех result'!$C24,'[1]1 цех_CapEx'!G24,0)</f>
        <v>0</v>
      </c>
      <c r="H22" s="20">
        <f>IF(G$2&gt;='[1]1 цех result'!$D24,'[1]1 цех_CapEx'!G24,0)</f>
        <v>0</v>
      </c>
      <c r="I22" s="20" t="str">
        <f>IF(G$2&gt;='[1]1 цех result'!$C24,$AK22,"")</f>
        <v/>
      </c>
      <c r="J22" s="20">
        <f>IF(J$2='[1]1 цех result'!$C24,'[1]1 цех_CapEx'!H24,0)</f>
        <v>0</v>
      </c>
      <c r="K22" s="20">
        <f>IF(J$2&gt;='[1]1 цех result'!$D24,'[1]1 цех_CapEx'!H24,0)</f>
        <v>0</v>
      </c>
      <c r="L22" s="20" t="str">
        <f>IF(J$2&gt;='[1]1 цех result'!$C24,$AK22,"")</f>
        <v/>
      </c>
      <c r="M22" s="20">
        <f>IF(M$2='[1]1 цех result'!$C24,'[1]1 цех_CapEx'!I24,0)</f>
        <v>1262.3357050591715</v>
      </c>
      <c r="N22" s="36">
        <f>IF(M$2&gt;='[1]1 цех result'!$D24,'[1]1 цех_CapEx'!I24,0)</f>
        <v>0</v>
      </c>
      <c r="O22" s="36" t="str">
        <f>IF(M$2&gt;='[1]1 цех result'!$C24,$AK22,"")</f>
        <v>Установка Т-2-Т 1х4000 кВА . 
Замена Т-1-Т 1х4000 кВА 
ВВ-35 кВ - 1000 А - 2 шт.</v>
      </c>
      <c r="P22" s="36">
        <f>IF(P$2='[1]1 цех result'!$C24,'[1]1 цех_CapEx'!J24,0)</f>
        <v>0</v>
      </c>
      <c r="Q22" s="36">
        <f>IF(P$2&gt;='[1]1 цех result'!$D24,'[1]1 цех_CapEx'!J24,0)</f>
        <v>0</v>
      </c>
      <c r="R22" s="20" t="str">
        <f>IF(P$2&gt;='[1]1 цех result'!$C24,$AK22,"")</f>
        <v>Установка Т-2-Т 1х4000 кВА . 
Замена Т-1-Т 1х4000 кВА 
ВВ-35 кВ - 1000 А - 2 шт.</v>
      </c>
      <c r="S22" s="20">
        <f>IF(S$2='[1]1 цех result'!$C24,'[1]1 цех_CapEx'!K24,0)</f>
        <v>0</v>
      </c>
      <c r="T22" s="20">
        <f>IF(S$2&gt;='[1]1 цех result'!$D24,'[1]1 цех_CapEx'!K24,0)</f>
        <v>45730.118029539532</v>
      </c>
      <c r="U22" s="20" t="str">
        <f>IF(S$2&gt;='[1]1 цех result'!$C24,$AK22,"")</f>
        <v>Установка Т-2-Т 1х4000 кВА . 
Замена Т-1-Т 1х4000 кВА 
ВВ-35 кВ - 1000 А - 2 шт.</v>
      </c>
      <c r="V22" s="20">
        <f>IF(V$2='[1]1 цех result'!$C24,'[1]1 цех_CapEx'!L24,0)</f>
        <v>0</v>
      </c>
      <c r="W22" s="20">
        <f>IF(V$2&gt;='[1]1 цех result'!$D24,'[1]1 цех_CapEx'!L24,0)</f>
        <v>0</v>
      </c>
      <c r="X22" s="20" t="str">
        <f>IF(V$2&gt;='[1]1 цех result'!$C24,$AK22,"")</f>
        <v>Установка Т-2-Т 1х4000 кВА . 
Замена Т-1-Т 1х4000 кВА 
ВВ-35 кВ - 1000 А - 2 шт.</v>
      </c>
      <c r="Y22" s="20">
        <f>IF(Y$2='[1]1 цех result'!$C24,'[1]1 цех_CapEx'!M24,0)</f>
        <v>0</v>
      </c>
      <c r="Z22" s="20">
        <f>IF(Y$2&gt;='[1]1 цех result'!$D24,'[1]1 цех_CapEx'!M24,0)</f>
        <v>0</v>
      </c>
      <c r="AA22" s="20" t="str">
        <f>IF(Y$2&gt;='[1]1 цех result'!$C24,$AK22,"")</f>
        <v>Установка Т-2-Т 1х4000 кВА . 
Замена Т-1-Т 1х4000 кВА 
ВВ-35 кВ - 1000 А - 2 шт.</v>
      </c>
      <c r="AB22" s="20">
        <f>IF(AB$2='[1]1 цех result'!$C24,'[1]1 цех_CapEx'!N24,0)</f>
        <v>0</v>
      </c>
      <c r="AC22" s="20">
        <f>IF(AB$2&gt;='[1]1 цех result'!$D24,'[1]1 цех_CapEx'!N24,0)</f>
        <v>0</v>
      </c>
      <c r="AD22" s="20" t="str">
        <f>IF(AB$2&gt;='[1]1 цех result'!$C24,$AK22,"")</f>
        <v>Установка Т-2-Т 1х4000 кВА . 
Замена Т-1-Т 1х4000 кВА 
ВВ-35 кВ - 1000 А - 2 шт.</v>
      </c>
      <c r="AE22" s="20">
        <f>IF(AE$2='[1]1 цех result'!$C24,'[1]1 цех_CapEx'!O24,0)</f>
        <v>0</v>
      </c>
      <c r="AF22" s="20">
        <f>IF(AE$2&gt;='[1]1 цех result'!$D24,'[1]1 цех_CapEx'!O24,0)</f>
        <v>0</v>
      </c>
      <c r="AG22" s="20" t="str">
        <f>IF(AE$2&gt;='[1]1 цех result'!$C24,$AK22,"")</f>
        <v>Установка Т-2-Т 1х4000 кВА . 
Замена Т-1-Т 1х4000 кВА 
ВВ-35 кВ - 1000 А - 2 шт.</v>
      </c>
      <c r="AH22" s="20">
        <f>IF(AH$2='[1]1 цех result'!$C24,'[1]1 цех_CapEx'!P24,0)</f>
        <v>0</v>
      </c>
      <c r="AI22" s="20">
        <f>IF(AH$2&gt;='[1]1 цех result'!$D24,'[1]1 цех_CapEx'!P24,0)</f>
        <v>0</v>
      </c>
      <c r="AJ22" s="20" t="str">
        <f>IF(AH$2&gt;='[1]1 цех result'!$C24,$AK22,"")</f>
        <v>Установка Т-2-Т 1х4000 кВА . 
Замена Т-1-Т 1х4000 кВА 
ВВ-35 кВ - 1000 А - 2 шт.</v>
      </c>
      <c r="AK22" s="12" t="s">
        <v>60</v>
      </c>
      <c r="AL22" s="19"/>
      <c r="AM22" s="71">
        <f t="shared" si="0"/>
        <v>46992.453734598705</v>
      </c>
      <c r="AN22" s="71">
        <f>'[1]1 цех_CapEx'!$V24</f>
        <v>46992.453734598705</v>
      </c>
      <c r="AO22" s="71">
        <f t="shared" si="1"/>
        <v>0</v>
      </c>
      <c r="AP22" s="62" t="s">
        <v>189</v>
      </c>
      <c r="AQ22" s="79" t="s">
        <v>178</v>
      </c>
    </row>
    <row r="23" spans="1:43" ht="45" customHeight="1">
      <c r="A23" s="78">
        <v>19</v>
      </c>
      <c r="B23" s="19" t="str">
        <f>'[1]1 цех_CapEx'!$B25</f>
        <v>ПС 35/6кВ 2х16000 кВА "Восточная"</v>
      </c>
      <c r="C23" s="32">
        <f>'[1]1 цех_CapEx'!$W25</f>
        <v>1</v>
      </c>
      <c r="D23" s="20">
        <f>IF(D$2='[1]1 цех result'!$C25,'[1]1 цех_CapEx'!F25,0)</f>
        <v>0</v>
      </c>
      <c r="E23" s="20">
        <f>IF(D$2&gt;='[1]1 цех result'!$D25,'[1]1 цех_CapEx'!F25,0)</f>
        <v>0</v>
      </c>
      <c r="F23" s="20" t="str">
        <f>IF(D$2&gt;='[1]1 цех result'!$C25,$AK23,"")</f>
        <v/>
      </c>
      <c r="G23" s="20">
        <f>IF(G$2='[1]1 цех result'!$C25,'[1]1 цех_CapEx'!G25,0)</f>
        <v>0</v>
      </c>
      <c r="H23" s="20">
        <f>IF(G$2&gt;='[1]1 цех result'!$D25,'[1]1 цех_CapEx'!G25,0)</f>
        <v>0</v>
      </c>
      <c r="I23" s="20" t="str">
        <f>IF(G$2&gt;='[1]1 цех result'!$C25,$AK23,"")</f>
        <v/>
      </c>
      <c r="J23" s="20">
        <f>IF(J$2='[1]1 цех result'!$C25,'[1]1 цех_CapEx'!H25,0)</f>
        <v>0</v>
      </c>
      <c r="K23" s="20">
        <f>IF(J$2&gt;='[1]1 цех result'!$D25,'[1]1 цех_CapEx'!H25,0)</f>
        <v>0</v>
      </c>
      <c r="L23" s="20" t="str">
        <f>IF(J$2&gt;='[1]1 цех result'!$C25,$AK23,"")</f>
        <v/>
      </c>
      <c r="M23" s="20">
        <f>IF(M$2='[1]1 цех result'!$C25,'[1]1 цех_CapEx'!I25,0)</f>
        <v>0</v>
      </c>
      <c r="N23" s="36">
        <f>IF(M$2&gt;='[1]1 цех result'!$D25,'[1]1 цех_CapEx'!I25,0)</f>
        <v>0</v>
      </c>
      <c r="O23" s="36" t="str">
        <f>IF(M$2&gt;='[1]1 цех result'!$C25,$AK23,"")</f>
        <v/>
      </c>
      <c r="P23" s="36">
        <f>IF(P$2='[1]1 цех result'!$C25,'[1]1 цех_CapEx'!J25,0)</f>
        <v>3150.0024251923533</v>
      </c>
      <c r="Q23" s="36">
        <f>IF(P$2&gt;='[1]1 цех result'!$D25,'[1]1 цех_CapEx'!J25,0)</f>
        <v>0</v>
      </c>
      <c r="R23" s="20" t="str">
        <f>IF(P$2&gt;='[1]1 цех result'!$C25,$AK23,"")</f>
        <v xml:space="preserve">Замена РУ-6 кВ К-59 </v>
      </c>
      <c r="S23" s="20">
        <f>IF(S$2='[1]1 цех result'!$C25,'[1]1 цех_CapEx'!K25,0)</f>
        <v>0</v>
      </c>
      <c r="T23" s="20">
        <f>IF(S$2&gt;='[1]1 цех result'!$D25,'[1]1 цех_CapEx'!K25,0)</f>
        <v>0</v>
      </c>
      <c r="U23" s="20" t="str">
        <f>IF(S$2&gt;='[1]1 цех result'!$C25,$AK23,"")</f>
        <v xml:space="preserve">Замена РУ-6 кВ К-59 </v>
      </c>
      <c r="V23" s="20">
        <f>IF(V$2='[1]1 цех result'!$C25,'[1]1 цех_CapEx'!L25,0)</f>
        <v>0</v>
      </c>
      <c r="W23" s="20">
        <f>IF(V$2&gt;='[1]1 цех result'!$D25,'[1]1 цех_CapEx'!L25,0)</f>
        <v>0</v>
      </c>
      <c r="X23" s="20" t="str">
        <f>IF(V$2&gt;='[1]1 цех result'!$C25,$AK23,"")</f>
        <v xml:space="preserve">Замена РУ-6 кВ К-59 </v>
      </c>
      <c r="Y23" s="20">
        <f>IF(Y$2='[1]1 цех result'!$C25,'[1]1 цех_CapEx'!M25,0)</f>
        <v>0</v>
      </c>
      <c r="Z23" s="20">
        <f>IF(Y$2&gt;='[1]1 цех result'!$D25,'[1]1 цех_CapEx'!M25,0)</f>
        <v>0</v>
      </c>
      <c r="AA23" s="20" t="str">
        <f>IF(Y$2&gt;='[1]1 цех result'!$C25,$AK23,"")</f>
        <v xml:space="preserve">Замена РУ-6 кВ К-59 </v>
      </c>
      <c r="AB23" s="20">
        <f>IF(AB$2='[1]1 цех result'!$C25,'[1]1 цех_CapEx'!N25,0)</f>
        <v>0</v>
      </c>
      <c r="AC23" s="20">
        <f>IF(AB$2&gt;='[1]1 цех result'!$D25,'[1]1 цех_CapEx'!N25,0)</f>
        <v>0</v>
      </c>
      <c r="AD23" s="20" t="str">
        <f>IF(AB$2&gt;='[1]1 цех result'!$C25,$AK23,"")</f>
        <v xml:space="preserve">Замена РУ-6 кВ К-59 </v>
      </c>
      <c r="AE23" s="20">
        <f>IF(AE$2='[1]1 цех result'!$C25,'[1]1 цех_CapEx'!O25,0)</f>
        <v>0</v>
      </c>
      <c r="AF23" s="20">
        <f>IF(AE$2&gt;='[1]1 цех result'!$D25,'[1]1 цех_CapEx'!O25,0)</f>
        <v>0</v>
      </c>
      <c r="AG23" s="20" t="str">
        <f>IF(AE$2&gt;='[1]1 цех result'!$C25,$AK23,"")</f>
        <v xml:space="preserve">Замена РУ-6 кВ К-59 </v>
      </c>
      <c r="AH23" s="20">
        <f>IF(AH$2='[1]1 цех result'!$C25,'[1]1 цех_CapEx'!P25,0)</f>
        <v>0</v>
      </c>
      <c r="AI23" s="20">
        <f>IF(AH$2&gt;='[1]1 цех result'!$D25,'[1]1 цех_CapEx'!P25,0)</f>
        <v>0</v>
      </c>
      <c r="AJ23" s="20" t="str">
        <f>IF(AH$2&gt;='[1]1 цех result'!$C25,$AK23,"")</f>
        <v xml:space="preserve">Замена РУ-6 кВ К-59 </v>
      </c>
      <c r="AK23" s="12" t="s">
        <v>57</v>
      </c>
      <c r="AL23" s="19"/>
      <c r="AM23" s="71">
        <f t="shared" si="0"/>
        <v>3150.0024251923533</v>
      </c>
      <c r="AN23" s="71">
        <f>'[1]1 цех_CapEx'!$V25</f>
        <v>3150.0024251923533</v>
      </c>
      <c r="AO23" s="71">
        <f t="shared" si="1"/>
        <v>0</v>
      </c>
      <c r="AP23" s="276" t="s">
        <v>190</v>
      </c>
      <c r="AQ23" s="277" t="s">
        <v>178</v>
      </c>
    </row>
    <row r="24" spans="1:43" ht="120">
      <c r="A24" s="78">
        <v>20</v>
      </c>
      <c r="B24" s="19" t="str">
        <f>'[1]1 цех_CapEx'!$B26</f>
        <v>ПС 35/6кВ 2х16000 кВА "Восточная"</v>
      </c>
      <c r="C24" s="32">
        <f>'[1]1 цех_CapEx'!$W26</f>
        <v>1</v>
      </c>
      <c r="D24" s="20">
        <f>IF(D$2='[1]1 цех result'!$C26,'[1]1 цех_CapEx'!F26,0)</f>
        <v>0</v>
      </c>
      <c r="E24" s="20">
        <f>IF(D$2&gt;='[1]1 цех result'!$D26,'[1]1 цех_CapEx'!F26,0)</f>
        <v>0</v>
      </c>
      <c r="F24" s="20" t="str">
        <f>IF(D$2&gt;='[1]1 цех result'!$C26,$AK24,"")</f>
        <v/>
      </c>
      <c r="G24" s="20">
        <f>IF(G$2='[1]1 цех result'!$C26,'[1]1 цех_CapEx'!G26,0)</f>
        <v>0</v>
      </c>
      <c r="H24" s="20">
        <f>IF(G$2&gt;='[1]1 цех result'!$D26,'[1]1 цех_CapEx'!G26,0)</f>
        <v>0</v>
      </c>
      <c r="I24" s="20" t="str">
        <f>IF(G$2&gt;='[1]1 цех result'!$C26,$AK24,"")</f>
        <v/>
      </c>
      <c r="J24" s="20">
        <f>IF(J$2='[1]1 цех result'!$C26,'[1]1 цех_CapEx'!H26,0)</f>
        <v>0</v>
      </c>
      <c r="K24" s="20">
        <f>IF(J$2&gt;='[1]1 цех result'!$D26,'[1]1 цех_CapEx'!H26,0)</f>
        <v>0</v>
      </c>
      <c r="L24" s="20" t="str">
        <f>IF(J$2&gt;='[1]1 цех result'!$C26,$AK24,"")</f>
        <v/>
      </c>
      <c r="M24" s="20">
        <f>IF(M$2='[1]1 цех result'!$C26,'[1]1 цех_CapEx'!I26,0)</f>
        <v>0</v>
      </c>
      <c r="N24" s="36">
        <f>IF(M$2&gt;='[1]1 цех result'!$D26,'[1]1 цех_CapEx'!I26,0)</f>
        <v>0</v>
      </c>
      <c r="O24" s="36" t="str">
        <f>IF(M$2&gt;='[1]1 цех result'!$C26,$AK24,"")</f>
        <v/>
      </c>
      <c r="P24" s="36">
        <f>'[1]1 цех result'!$E$26*'[1]1 цех_CapEx'!$J$3/1000</f>
        <v>2438.2635692381341</v>
      </c>
      <c r="Q24" s="36">
        <f>'[1]1 цех_CapEx'!$J$26-P24</f>
        <v>26279.062912899892</v>
      </c>
      <c r="R24" s="20" t="str">
        <f>IF(P$2&gt;='[1]1 цех result'!$C26,$AK24,"")</f>
        <v xml:space="preserve">
Замена Т-1,2-Т, МВ-35 кВ на ВВ-35 кВ - 7 шт.
Установка БСК– 0,4 Мвар на I СШ 6 кВ, и 0,45 Мвар на II СШ 6 кВ.</v>
      </c>
      <c r="S24" s="20">
        <f>IF(S$2='[1]1 цех result'!$C26,'[1]1 цех_CapEx'!K26,0)</f>
        <v>0</v>
      </c>
      <c r="T24" s="20">
        <f>IF(S$2&gt;='[1]1 цех result'!$D26,'[1]1 цех_CapEx'!K26,0)</f>
        <v>27724.411373109382</v>
      </c>
      <c r="U24" s="20" t="str">
        <f>IF(S$2&gt;='[1]1 цех result'!$C26,$AK24,"")</f>
        <v xml:space="preserve">
Замена Т-1,2-Т, МВ-35 кВ на ВВ-35 кВ - 7 шт.
Установка БСК– 0,4 Мвар на I СШ 6 кВ, и 0,45 Мвар на II СШ 6 кВ.</v>
      </c>
      <c r="V24" s="20">
        <f>IF(V$2='[1]1 цех result'!$C26,'[1]1 цех_CapEx'!L26,0)</f>
        <v>0</v>
      </c>
      <c r="W24" s="20">
        <f>IF(V$2&gt;='[1]1 цех result'!$D26,'[1]1 цех_CapEx'!L26,0)</f>
        <v>29110.631941764852</v>
      </c>
      <c r="X24" s="20" t="str">
        <f>IF(V$2&gt;='[1]1 цех result'!$C26,$AK24,"")</f>
        <v xml:space="preserve">
Замена Т-1,2-Т, МВ-35 кВ на ВВ-35 кВ - 7 шт.
Установка БСК– 0,4 Мвар на I СШ 6 кВ, и 0,45 Мвар на II СШ 6 кВ.</v>
      </c>
      <c r="Y24" s="20">
        <f>IF(Y$2='[1]1 цех result'!$C26,'[1]1 цех_CapEx'!M26,0)</f>
        <v>0</v>
      </c>
      <c r="Z24" s="20">
        <f>IF(Y$2&gt;='[1]1 цех result'!$D26,'[1]1 цех_CapEx'!M26,0)</f>
        <v>0</v>
      </c>
      <c r="AA24" s="20" t="str">
        <f>IF(Y$2&gt;='[1]1 цех result'!$C26,$AK24,"")</f>
        <v xml:space="preserve">
Замена Т-1,2-Т, МВ-35 кВ на ВВ-35 кВ - 7 шт.
Установка БСК– 0,4 Мвар на I СШ 6 кВ, и 0,45 Мвар на II СШ 6 кВ.</v>
      </c>
      <c r="AB24" s="20">
        <f>IF(AB$2='[1]1 цех result'!$C26,'[1]1 цех_CapEx'!N26,0)</f>
        <v>0</v>
      </c>
      <c r="AC24" s="20">
        <f>IF(AB$2&gt;='[1]1 цех result'!$D26,'[1]1 цех_CapEx'!N26,0)</f>
        <v>0</v>
      </c>
      <c r="AD24" s="20" t="str">
        <f>IF(AB$2&gt;='[1]1 цех result'!$C26,$AK24,"")</f>
        <v xml:space="preserve">
Замена Т-1,2-Т, МВ-35 кВ на ВВ-35 кВ - 7 шт.
Установка БСК– 0,4 Мвар на I СШ 6 кВ, и 0,45 Мвар на II СШ 6 кВ.</v>
      </c>
      <c r="AE24" s="20">
        <f>IF(AE$2='[1]1 цех result'!$C26,'[1]1 цех_CapEx'!O26,0)</f>
        <v>0</v>
      </c>
      <c r="AF24" s="20">
        <f>IF(AE$2&gt;='[1]1 цех result'!$D26,'[1]1 цех_CapEx'!O26,0)</f>
        <v>0</v>
      </c>
      <c r="AG24" s="20" t="str">
        <f>IF(AE$2&gt;='[1]1 цех result'!$C26,$AK24,"")</f>
        <v xml:space="preserve">
Замена Т-1,2-Т, МВ-35 кВ на ВВ-35 кВ - 7 шт.
Установка БСК– 0,4 Мвар на I СШ 6 кВ, и 0,45 Мвар на II СШ 6 кВ.</v>
      </c>
      <c r="AH24" s="20">
        <f>IF(AH$2='[1]1 цех result'!$C26,'[1]1 цех_CapEx'!P26,0)</f>
        <v>0</v>
      </c>
      <c r="AI24" s="20">
        <f>IF(AH$2&gt;='[1]1 цех result'!$D26,'[1]1 цех_CapEx'!P26,0)</f>
        <v>0</v>
      </c>
      <c r="AJ24" s="20" t="str">
        <f>IF(AH$2&gt;='[1]1 цех result'!$C26,$AK24,"")</f>
        <v xml:space="preserve">
Замена Т-1,2-Т, МВ-35 кВ на ВВ-35 кВ - 7 шт.
Установка БСК– 0,4 Мвар на I СШ 6 кВ, и 0,45 Мвар на II СШ 6 кВ.</v>
      </c>
      <c r="AK24" s="12" t="s">
        <v>58</v>
      </c>
      <c r="AL24" s="19"/>
      <c r="AM24" s="71">
        <f t="shared" si="0"/>
        <v>85552.369797012259</v>
      </c>
      <c r="AN24" s="71">
        <f>'[1]1 цех_CapEx'!$V26</f>
        <v>85552.369797012259</v>
      </c>
      <c r="AO24" s="71">
        <f t="shared" si="1"/>
        <v>0</v>
      </c>
      <c r="AP24" s="276"/>
      <c r="AQ24" s="277"/>
    </row>
    <row r="25" spans="1:43" ht="60">
      <c r="A25" s="78">
        <v>21</v>
      </c>
      <c r="B25" s="19" t="str">
        <f>'[1]1 цех_CapEx'!$B27</f>
        <v>ПС 35/6кВ Черновская</v>
      </c>
      <c r="C25" s="32">
        <f>'[1]1 цех_CapEx'!$W27</f>
        <v>1</v>
      </c>
      <c r="D25" s="20">
        <f>IF(D$2='[1]1 цех result'!$C27,'[1]1 цех_CapEx'!F27,0)</f>
        <v>0</v>
      </c>
      <c r="E25" s="20">
        <f>IF(D$2&gt;='[1]1 цех result'!$D27,'[1]1 цех_CapEx'!F27,0)</f>
        <v>0</v>
      </c>
      <c r="F25" s="20" t="str">
        <f>IF(D$2&gt;='[1]1 цех result'!$C27,$AK25,"")</f>
        <v/>
      </c>
      <c r="G25" s="20">
        <f>IF(G$2='[1]1 цех result'!$C27,'[1]1 цех_CapEx'!G27,0)</f>
        <v>0</v>
      </c>
      <c r="H25" s="20">
        <f>IF(G$2&gt;='[1]1 цех result'!$D27,'[1]1 цех_CapEx'!G27,0)</f>
        <v>0</v>
      </c>
      <c r="I25" s="20" t="str">
        <f>IF(G$2&gt;='[1]1 цех result'!$C27,$AK25,"")</f>
        <v/>
      </c>
      <c r="J25" s="20">
        <f>IF(J$2='[1]1 цех result'!$C27,'[1]1 цех_CapEx'!H27,0)</f>
        <v>605.82516628439987</v>
      </c>
      <c r="K25" s="20">
        <f>IF(J$2&gt;='[1]1 цех result'!$D27,'[1]1 цех_CapEx'!H27,0)</f>
        <v>0</v>
      </c>
      <c r="L25" s="20" t="str">
        <f>IF(J$2&gt;='[1]1 цех result'!$C27,$AK25,"")</f>
        <v>Замена: Т-1-Т 4000 кВА - 1 шт.</v>
      </c>
      <c r="M25" s="20">
        <f>IF(M$2='[1]1 цех result'!$C27,'[1]1 цех_CapEx'!I27,0)</f>
        <v>0</v>
      </c>
      <c r="N25" s="20">
        <f>IF(M$2&gt;='[1]1 цех result'!$D27,'[1]1 цех_CapEx'!I27,0)</f>
        <v>20626.529436484965</v>
      </c>
      <c r="O25" s="20" t="str">
        <f>IF(M$2&gt;='[1]1 цех result'!$C27,$AK25,"")</f>
        <v>Замена: Т-1-Т 4000 кВА - 1 шт.</v>
      </c>
      <c r="P25" s="20">
        <f>IF(P$2='[1]1 цех result'!$C27,'[1]1 цех_CapEx'!J27,0)</f>
        <v>0</v>
      </c>
      <c r="Q25" s="20">
        <f>IF(P$2&gt;='[1]1 цех result'!$D27,'[1]1 цех_CapEx'!J27,0)</f>
        <v>0</v>
      </c>
      <c r="R25" s="20" t="str">
        <f>IF(P$2&gt;='[1]1 цех result'!$C27,$AK25,"")</f>
        <v>Замена: Т-1-Т 4000 кВА - 1 шт.</v>
      </c>
      <c r="S25" s="20">
        <f>IF(S$2='[1]1 цех result'!$C27,'[1]1 цех_CapEx'!K27,0)</f>
        <v>0</v>
      </c>
      <c r="T25" s="20">
        <f>IF(S$2&gt;='[1]1 цех result'!$D27,'[1]1 цех_CapEx'!K27,0)</f>
        <v>0</v>
      </c>
      <c r="U25" s="20" t="str">
        <f>IF(S$2&gt;='[1]1 цех result'!$C27,$AK25,"")</f>
        <v>Замена: Т-1-Т 4000 кВА - 1 шт.</v>
      </c>
      <c r="V25" s="20">
        <f>IF(V$2='[1]1 цех result'!$C27,'[1]1 цех_CapEx'!L27,0)</f>
        <v>0</v>
      </c>
      <c r="W25" s="20">
        <f>IF(V$2&gt;='[1]1 цех result'!$D27,'[1]1 цех_CapEx'!L27,0)</f>
        <v>0</v>
      </c>
      <c r="X25" s="20" t="str">
        <f>IF(V$2&gt;='[1]1 цех result'!$C27,$AK25,"")</f>
        <v>Замена: Т-1-Т 4000 кВА - 1 шт.</v>
      </c>
      <c r="Y25" s="20">
        <f>IF(Y$2='[1]1 цех result'!$C27,'[1]1 цех_CapEx'!M27,0)</f>
        <v>0</v>
      </c>
      <c r="Z25" s="20">
        <f>IF(Y$2&gt;='[1]1 цех result'!$D27,'[1]1 цех_CapEx'!M27,0)</f>
        <v>0</v>
      </c>
      <c r="AA25" s="20" t="str">
        <f>IF(Y$2&gt;='[1]1 цех result'!$C27,$AK25,"")</f>
        <v>Замена: Т-1-Т 4000 кВА - 1 шт.</v>
      </c>
      <c r="AB25" s="20">
        <f>IF(AB$2='[1]1 цех result'!$C27,'[1]1 цех_CapEx'!N27,0)</f>
        <v>0</v>
      </c>
      <c r="AC25" s="20">
        <f>IF(AB$2&gt;='[1]1 цех result'!$D27,'[1]1 цех_CapEx'!N27,0)</f>
        <v>0</v>
      </c>
      <c r="AD25" s="20" t="str">
        <f>IF(AB$2&gt;='[1]1 цех result'!$C27,$AK25,"")</f>
        <v>Замена: Т-1-Т 4000 кВА - 1 шт.</v>
      </c>
      <c r="AE25" s="20">
        <f>IF(AE$2='[1]1 цех result'!$C27,'[1]1 цех_CapEx'!O27,0)</f>
        <v>0</v>
      </c>
      <c r="AF25" s="20">
        <f>IF(AE$2&gt;='[1]1 цех result'!$D27,'[1]1 цех_CapEx'!O27,0)</f>
        <v>0</v>
      </c>
      <c r="AG25" s="20" t="str">
        <f>IF(AE$2&gt;='[1]1 цех result'!$C27,$AK25,"")</f>
        <v>Замена: Т-1-Т 4000 кВА - 1 шт.</v>
      </c>
      <c r="AH25" s="20">
        <f>IF(AH$2='[1]1 цех result'!$C27,'[1]1 цех_CapEx'!P27,0)</f>
        <v>0</v>
      </c>
      <c r="AI25" s="20">
        <f>IF(AH$2&gt;='[1]1 цех result'!$D27,'[1]1 цех_CapEx'!P27,0)</f>
        <v>0</v>
      </c>
      <c r="AJ25" s="20" t="str">
        <f>IF(AH$2&gt;='[1]1 цех result'!$C27,$AK25,"")</f>
        <v>Замена: Т-1-Т 4000 кВА - 1 шт.</v>
      </c>
      <c r="AK25" s="12" t="s">
        <v>56</v>
      </c>
      <c r="AL25" s="19"/>
      <c r="AM25" s="71">
        <f t="shared" si="0"/>
        <v>21232.354602769366</v>
      </c>
      <c r="AN25" s="71">
        <f>'[1]1 цех_CapEx'!$V27</f>
        <v>21232.354602769366</v>
      </c>
      <c r="AO25" s="71">
        <f t="shared" si="1"/>
        <v>0</v>
      </c>
      <c r="AP25" s="62" t="s">
        <v>181</v>
      </c>
      <c r="AQ25" s="79" t="s">
        <v>178</v>
      </c>
    </row>
    <row r="26" spans="1:43" s="38" customFormat="1" hidden="1">
      <c r="A26" s="78">
        <f>A24+1</f>
        <v>21</v>
      </c>
      <c r="B26" s="27" t="s">
        <v>14</v>
      </c>
      <c r="C26" s="28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30"/>
      <c r="AL26" s="27"/>
      <c r="AM26" s="27"/>
      <c r="AN26" s="27"/>
      <c r="AO26" s="27"/>
      <c r="AP26" s="61"/>
      <c r="AQ26" s="77"/>
    </row>
    <row r="27" spans="1:43" ht="45">
      <c r="A27" s="78">
        <v>22</v>
      </c>
      <c r="B27" s="19" t="str">
        <f>'[1]1 цех_CapEx'!$B29</f>
        <v>ПС 35/6кВ 1х4000 1х6300 кВА "Неклюдовская"</v>
      </c>
      <c r="C27" s="32">
        <f>'[1]1 цех_CapEx'!$W29</f>
        <v>1</v>
      </c>
      <c r="D27" s="20">
        <f>IF(D$2='[1]1 цех result'!$C29,'[1]1 цех_CapEx'!F29,0)</f>
        <v>0</v>
      </c>
      <c r="E27" s="20">
        <f>IF(D$2&gt;='[1]1 цех result'!$D29,'[1]1 цех_CapEx'!F29,0)</f>
        <v>0</v>
      </c>
      <c r="F27" s="20" t="str">
        <f>IF(D$2&gt;='[1]1 цех result'!$C29,$AK27,"")</f>
        <v/>
      </c>
      <c r="G27" s="20">
        <f>IF(G$2='[1]1 цех result'!$C29,'[1]1 цех_CapEx'!G29,0)</f>
        <v>0</v>
      </c>
      <c r="H27" s="20">
        <f>IF(G$2&gt;='[1]1 цех result'!$D29,'[1]1 цех_CapEx'!G29,0)</f>
        <v>0</v>
      </c>
      <c r="I27" s="20" t="str">
        <f>IF(G$2&gt;='[1]1 цех result'!$C29,$AK27,"")</f>
        <v/>
      </c>
      <c r="J27" s="20">
        <f>IF(J$2='[1]1 цех result'!$C29,'[1]1 цех_CapEx'!H29,0)</f>
        <v>0</v>
      </c>
      <c r="K27" s="20">
        <f>IF(J$2&gt;='[1]1 цех result'!$D29,'[1]1 цех_CapEx'!H29,0)</f>
        <v>0</v>
      </c>
      <c r="L27" s="20" t="str">
        <f>IF(J$2&gt;='[1]1 цех result'!$C29,$AK27,"")</f>
        <v/>
      </c>
      <c r="M27" s="20">
        <f>IF(M$2='[1]1 цех result'!$C29,'[1]1 цех_CapEx'!I29,0)</f>
        <v>0</v>
      </c>
      <c r="N27" s="20">
        <f>IF(M$2&gt;='[1]1 цех result'!$D29,'[1]1 цех_CapEx'!I29,0)</f>
        <v>0</v>
      </c>
      <c r="O27" s="20" t="str">
        <f>IF(M$2&gt;='[1]1 цех result'!$C29,$AK27,"")</f>
        <v/>
      </c>
      <c r="P27" s="20">
        <f>IF(P$2='[1]1 цех result'!$C29,'[1]1 цех_CapEx'!J29,0)</f>
        <v>0</v>
      </c>
      <c r="Q27" s="20">
        <f>IF(P$2&gt;='[1]1 цех result'!$D29,'[1]1 цех_CapEx'!J29,0)</f>
        <v>0</v>
      </c>
      <c r="R27" s="20" t="str">
        <f>IF(P$2&gt;='[1]1 цех result'!$C29,$AK27,"")</f>
        <v/>
      </c>
      <c r="S27" s="20">
        <f>IF(S$2='[1]1 цех result'!$C29,'[1]1 цех_CapEx'!K29,0)</f>
        <v>0</v>
      </c>
      <c r="T27" s="20">
        <f>IF(S$2&gt;='[1]1 цех result'!$D29,'[1]1 цех_CapEx'!K29,0)</f>
        <v>0</v>
      </c>
      <c r="U27" s="20" t="str">
        <f>IF(S$2&gt;='[1]1 цех result'!$C29,$AK27,"")</f>
        <v/>
      </c>
      <c r="V27" s="20">
        <f>IF(V$2='[1]1 цех result'!$C29,'[1]1 цех_CapEx'!L29,0)</f>
        <v>750.48489705862039</v>
      </c>
      <c r="W27" s="20">
        <f>IF(V$2&gt;='[1]1 цех result'!$D29,'[1]1 цех_CapEx'!L29,0)</f>
        <v>0</v>
      </c>
      <c r="X27" s="20" t="str">
        <f>IF(V$2&gt;='[1]1 цех result'!$C29,$AK27,"")</f>
        <v>Кап. ремонт Т-1-Т; замена Т-2-Т на новый 4000 кВА</v>
      </c>
      <c r="Y27" s="20">
        <f>IF(Y$2='[1]1 цех result'!$C29,'[1]1 цех_CapEx'!M29,0)</f>
        <v>0</v>
      </c>
      <c r="Z27" s="20">
        <f>IF(Y$2&gt;='[1]1 цех result'!$D29,'[1]1 цех_CapEx'!M29,0)</f>
        <v>24934.115134208558</v>
      </c>
      <c r="AA27" s="20" t="str">
        <f>IF(Y$2&gt;='[1]1 цех result'!$C29,$AK27,"")</f>
        <v>Кап. ремонт Т-1-Т; замена Т-2-Т на новый 4000 кВА</v>
      </c>
      <c r="AB27" s="20">
        <f>IF(AB$2='[1]1 цех result'!$C29,'[1]1 цех_CapEx'!N29,0)</f>
        <v>0</v>
      </c>
      <c r="AC27" s="20">
        <f>IF(AB$2&gt;='[1]1 цех result'!$D29,'[1]1 цех_CapEx'!N29,0)</f>
        <v>0</v>
      </c>
      <c r="AD27" s="20" t="str">
        <f>IF(AB$2&gt;='[1]1 цех result'!$C29,$AK27,"")</f>
        <v>Кап. ремонт Т-1-Т; замена Т-2-Т на новый 4000 кВА</v>
      </c>
      <c r="AE27" s="20">
        <f>IF(AE$2='[1]1 цех result'!$C29,'[1]1 цех_CapEx'!O29,0)</f>
        <v>0</v>
      </c>
      <c r="AF27" s="20">
        <f>IF(AE$2&gt;='[1]1 цех result'!$D29,'[1]1 цех_CapEx'!O29,0)</f>
        <v>0</v>
      </c>
      <c r="AG27" s="20" t="str">
        <f>IF(AE$2&gt;='[1]1 цех result'!$C29,$AK27,"")</f>
        <v>Кап. ремонт Т-1-Т; замена Т-2-Т на новый 4000 кВА</v>
      </c>
      <c r="AH27" s="20">
        <f>IF(AH$2='[1]1 цех result'!$C29,'[1]1 цех_CapEx'!P29,0)</f>
        <v>0</v>
      </c>
      <c r="AI27" s="20">
        <f>IF(AH$2&gt;='[1]1 цех result'!$D29,'[1]1 цех_CapEx'!P29,0)</f>
        <v>0</v>
      </c>
      <c r="AJ27" s="20" t="str">
        <f>IF(AH$2&gt;='[1]1 цех result'!$C29,$AK27,"")</f>
        <v>Кап. ремонт Т-1-Т; замена Т-2-Т на новый 4000 кВА</v>
      </c>
      <c r="AK27" s="12" t="s">
        <v>61</v>
      </c>
      <c r="AL27" s="19"/>
      <c r="AM27" s="71">
        <f>SUM(D27:AJ27)</f>
        <v>25684.600031267179</v>
      </c>
      <c r="AN27" s="71">
        <f>'[1]1 цех_CapEx'!$V29</f>
        <v>25684.600031267179</v>
      </c>
      <c r="AO27" s="71">
        <f t="shared" si="1"/>
        <v>0</v>
      </c>
      <c r="AP27" s="63" t="s">
        <v>191</v>
      </c>
      <c r="AQ27" s="79" t="s">
        <v>178</v>
      </c>
    </row>
    <row r="28" spans="1:43" s="38" customFormat="1" hidden="1">
      <c r="A28" s="78">
        <f>A26+1</f>
        <v>22</v>
      </c>
      <c r="B28" s="27" t="s">
        <v>15</v>
      </c>
      <c r="C28" s="28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30"/>
      <c r="AL28" s="27"/>
      <c r="AM28" s="27"/>
      <c r="AN28" s="27"/>
      <c r="AO28" s="27"/>
      <c r="AP28" s="61"/>
      <c r="AQ28" s="77"/>
    </row>
    <row r="29" spans="1:43" ht="195" customHeight="1">
      <c r="A29" s="78">
        <v>23</v>
      </c>
      <c r="B29" s="19" t="str">
        <f>'[1]1 цех_CapEx'!$B31</f>
        <v>ПС 110/35/6 кВ Тимашевская (замена тр-в)</v>
      </c>
      <c r="C29" s="32">
        <f>'[1]1 цех_CapEx'!$W31</f>
        <v>1</v>
      </c>
      <c r="D29" s="20">
        <f>IF(D$2='[1]1 цех result'!$C31,'[1]1 цех_CapEx'!F31,0)</f>
        <v>0</v>
      </c>
      <c r="E29" s="20">
        <f>IF(D$2&gt;='[1]1 цех result'!$D31,'[1]1 цех_CapEx'!F31,0)</f>
        <v>0</v>
      </c>
      <c r="F29" s="20" t="str">
        <f>IF(D$2&gt;='[1]1 цех result'!$C31,$AK29,"")</f>
        <v/>
      </c>
      <c r="G29" s="20">
        <f>IF(G$2='[1]1 цех result'!$C31,'[1]1 цех_CapEx'!G31,0)</f>
        <v>0</v>
      </c>
      <c r="H29" s="20">
        <f>IF(G$2&gt;='[1]1 цех result'!$D31,'[1]1 цех_CapEx'!G31,0)</f>
        <v>0</v>
      </c>
      <c r="I29" s="20" t="str">
        <f>IF(G$2&gt;='[1]1 цех result'!$C31,$AK29,"")</f>
        <v/>
      </c>
      <c r="J29" s="20">
        <f>IF(J$2='[1]1 цех result'!$C31,'[1]1 цех_CapEx'!H31,0)</f>
        <v>0</v>
      </c>
      <c r="K29" s="20">
        <f>IF(J$2&gt;='[1]1 цех result'!$D31,'[1]1 цех_CapEx'!H31,0)</f>
        <v>0</v>
      </c>
      <c r="L29" s="20" t="str">
        <f>IF(J$2&gt;='[1]1 цех result'!$C31,$AK29,"")</f>
        <v/>
      </c>
      <c r="M29" s="20">
        <f>IF(M$2='[1]1 цех result'!$C31,'[1]1 цех_CapEx'!I31,0)</f>
        <v>0</v>
      </c>
      <c r="N29" s="20">
        <f>IF(M$2&gt;='[1]1 цех result'!$D31,'[1]1 цех_CapEx'!I31,0)</f>
        <v>0</v>
      </c>
      <c r="O29" s="20" t="str">
        <f>IF(M$2&gt;='[1]1 цех result'!$C31,$AK29,"")</f>
        <v/>
      </c>
      <c r="P29" s="20">
        <f>IF(P$2='[1]1 цех result'!$C31,'[1]1 цех_CapEx'!J31,0)</f>
        <v>0</v>
      </c>
      <c r="Q29" s="20">
        <f>IF(P$2&gt;='[1]1 цех result'!$D31,'[1]1 цех_CapEx'!J31,0)</f>
        <v>0</v>
      </c>
      <c r="R29" s="20" t="str">
        <f>IF(P$2&gt;='[1]1 цех result'!$C31,$AK29,"")</f>
        <v/>
      </c>
      <c r="S29" s="20">
        <f>IF(S$2='[1]1 цех result'!$C31,'[1]1 цех_CapEx'!K31,0)</f>
        <v>0</v>
      </c>
      <c r="T29" s="20">
        <f>IF(S$2&gt;='[1]1 цех result'!$D31,'[1]1 цех_CapEx'!K31,0)</f>
        <v>0</v>
      </c>
      <c r="U29" s="20" t="str">
        <f>IF(S$2&gt;='[1]1 цех result'!$C31,$AK29,"")</f>
        <v/>
      </c>
      <c r="V29" s="20">
        <f>IF(V$2='[1]1 цех result'!$C31,'[1]1 цех_CapEx'!L31,0)</f>
        <v>0</v>
      </c>
      <c r="W29" s="20">
        <f>IF(V$2&gt;='[1]1 цех result'!$D31,'[1]1 цех_CapEx'!L31,0)</f>
        <v>0</v>
      </c>
      <c r="X29" s="20" t="str">
        <f>IF(V$2&gt;='[1]1 цех result'!$C31,$AK29,"")</f>
        <v/>
      </c>
      <c r="Y29" s="20">
        <f>IF(Y$2='[1]1 цех result'!$C31,'[1]1 цех_CapEx'!M31,0)</f>
        <v>0</v>
      </c>
      <c r="Z29" s="20">
        <f>IF(Y$2&gt;='[1]1 цех result'!$D31,'[1]1 цех_CapEx'!M31,0)</f>
        <v>0</v>
      </c>
      <c r="AA29" s="20" t="str">
        <f>IF(Y$2&gt;='[1]1 цех result'!$C31,$AK29,"")</f>
        <v/>
      </c>
      <c r="AB29" s="20">
        <f>IF(AB$2='[1]1 цех result'!$C31,'[1]1 цех_CapEx'!N31,0)</f>
        <v>0</v>
      </c>
      <c r="AC29" s="20">
        <f>IF(AB$2&gt;='[1]1 цех result'!$D31,'[1]1 цех_CapEx'!N31,0)</f>
        <v>0</v>
      </c>
      <c r="AD29" s="20" t="str">
        <f>IF(AB$2&gt;='[1]1 цех result'!$C31,$AK29,"")</f>
        <v/>
      </c>
      <c r="AE29" s="20">
        <f>IF(AE$2='[1]1 цех result'!$C31,'[1]1 цех_CapEx'!O31,0)</f>
        <v>7983.0394992264437</v>
      </c>
      <c r="AF29" s="20">
        <f>IF(AE$2&gt;='[1]1 цех result'!$D31,'[1]1 цех_CapEx'!O31,0)</f>
        <v>0</v>
      </c>
      <c r="AG29" s="20" t="str">
        <f>IF(AE$2&gt;='[1]1 цех result'!$C31,$AK29,"")</f>
        <v>Замена Т-1,2-Т. 2х25 МВА.</v>
      </c>
      <c r="AH29" s="20">
        <f>IF(AH$2='[1]1 цех result'!$C31,'[1]1 цех_CapEx'!P31,0)</f>
        <v>0</v>
      </c>
      <c r="AI29" s="20">
        <f>IF(AH$2&gt;='[1]1 цех result'!$D31,'[1]1 цех_CapEx'!P31,0)</f>
        <v>267926.7716730379</v>
      </c>
      <c r="AJ29" s="20" t="str">
        <f>IF(AH$2&gt;='[1]1 цех result'!$C31,$AK29,"")</f>
        <v>Замена Т-1,2-Т. 2х25 МВА.</v>
      </c>
      <c r="AK29" s="12" t="s">
        <v>62</v>
      </c>
      <c r="AL29" s="19"/>
      <c r="AM29" s="71">
        <f>SUM(D29:AJ29)</f>
        <v>275909.81117226434</v>
      </c>
      <c r="AN29" s="71">
        <f>'[1]1 цех_CapEx'!$V31</f>
        <v>275909.81117226434</v>
      </c>
      <c r="AO29" s="71">
        <f t="shared" si="1"/>
        <v>0</v>
      </c>
      <c r="AP29" s="278" t="s">
        <v>222</v>
      </c>
      <c r="AQ29" s="277" t="s">
        <v>178</v>
      </c>
    </row>
    <row r="30" spans="1:43" ht="75">
      <c r="A30" s="78">
        <v>24</v>
      </c>
      <c r="B30" s="19" t="str">
        <f>'[1]1 цех_CapEx'!$B32</f>
        <v>ПС 110/35/6 кВ Тимашевская (все кроме замены тр-в)</v>
      </c>
      <c r="C30" s="32">
        <f>'[1]1 цех_CapEx'!$W32</f>
        <v>1</v>
      </c>
      <c r="D30" s="20">
        <f>IF(D$2='[1]1 цех result'!$C32,'[1]1 цех_CapEx'!F32,0)</f>
        <v>0</v>
      </c>
      <c r="E30" s="20">
        <f>IF(D$2&gt;='[1]1 цех result'!$D32,'[1]1 цех_CapEx'!F32,0)</f>
        <v>0</v>
      </c>
      <c r="F30" s="20" t="str">
        <f>IF(D$2&gt;='[1]1 цех result'!$C32,$AK30,"")</f>
        <v/>
      </c>
      <c r="G30" s="20">
        <f>IF(G$2='[1]1 цех result'!$C32,'[1]1 цех_CapEx'!G32,0)</f>
        <v>0</v>
      </c>
      <c r="H30" s="20">
        <f>IF(G$2&gt;='[1]1 цех result'!$D32,'[1]1 цех_CapEx'!G32,0)</f>
        <v>0</v>
      </c>
      <c r="I30" s="20" t="str">
        <f>IF(G$2&gt;='[1]1 цех result'!$C32,$AK30,"")</f>
        <v/>
      </c>
      <c r="J30" s="20">
        <f>IF(J$2='[1]1 цех result'!$C32,'[1]1 цех_CapEx'!H32,0)</f>
        <v>0</v>
      </c>
      <c r="K30" s="20">
        <f>IF(J$2&gt;='[1]1 цех result'!$D32,'[1]1 цех_CapEx'!H32,0)</f>
        <v>0</v>
      </c>
      <c r="L30" s="20" t="str">
        <f>IF(J$2&gt;='[1]1 цех result'!$C32,$AK30,"")</f>
        <v/>
      </c>
      <c r="M30" s="20">
        <f>IF(M$2='[1]1 цех result'!$C32,'[1]1 цех_CapEx'!I32,0)</f>
        <v>0</v>
      </c>
      <c r="N30" s="20">
        <f>IF(M$2&gt;='[1]1 цех result'!$D32,'[1]1 цех_CapEx'!I32,0)</f>
        <v>0</v>
      </c>
      <c r="O30" s="20" t="str">
        <f>IF(M$2&gt;='[1]1 цех result'!$C32,$AK30,"")</f>
        <v/>
      </c>
      <c r="P30" s="20">
        <f>IF(P$2='[1]1 цех result'!$C32,'[1]1 цех_CapEx'!J32,0)</f>
        <v>0</v>
      </c>
      <c r="Q30" s="20">
        <f>IF(P$2&gt;='[1]1 цех result'!$D32,'[1]1 цех_CapEx'!J32,0)</f>
        <v>0</v>
      </c>
      <c r="R30" s="20" t="str">
        <f>IF(P$2&gt;='[1]1 цех result'!$C32,$AK30,"")</f>
        <v/>
      </c>
      <c r="S30" s="20">
        <f>IF(S$2='[1]1 цех result'!$C32,'[1]1 цех_CapEx'!K32,0)</f>
        <v>0</v>
      </c>
      <c r="T30" s="20">
        <f>IF(S$2&gt;='[1]1 цех result'!$D32,'[1]1 цех_CapEx'!K32,0)</f>
        <v>0</v>
      </c>
      <c r="U30" s="20" t="str">
        <f>IF(S$2&gt;='[1]1 цех result'!$C32,$AK30,"")</f>
        <v/>
      </c>
      <c r="V30" s="20">
        <f>IF(V$2='[1]1 цех result'!$C32,'[1]1 цех_CapEx'!L32,0)</f>
        <v>0</v>
      </c>
      <c r="W30" s="20">
        <f>IF(V$2&gt;='[1]1 цех result'!$D32,'[1]1 цех_CapEx'!L32,0)</f>
        <v>0</v>
      </c>
      <c r="X30" s="20" t="str">
        <f>IF(V$2&gt;='[1]1 цех result'!$C32,$AK30,"")</f>
        <v/>
      </c>
      <c r="Y30" s="20">
        <f>IF(Y$2='[1]1 цех result'!$C32,'[1]1 цех_CapEx'!M32,0)</f>
        <v>6623.5556356544148</v>
      </c>
      <c r="Z30" s="20">
        <f>IF(Y$2&gt;='[1]1 цех result'!$D32,'[1]1 цех_CapEx'!M32,0)</f>
        <v>0</v>
      </c>
      <c r="AA30" s="20" t="str">
        <f>IF(Y$2&gt;='[1]1 цех result'!$C32,$AK30,"")</f>
        <v xml:space="preserve">Строительство отпайки ВЛ-35 кВ до ВЛ-35 кВ Сидоровка - 2*12 км. Установка блока реклоузера - 1 шт. </v>
      </c>
      <c r="AB30" s="20">
        <f>IF(AB$2='[1]1 цех result'!$C32,'[1]1 цех_CapEx'!N32,0)</f>
        <v>0</v>
      </c>
      <c r="AC30" s="20">
        <f>IF(AB$2&gt;='[1]1 цех result'!$D32,'[1]1 цех_CapEx'!N32,0)</f>
        <v>107505.36182523746</v>
      </c>
      <c r="AD30" s="20" t="str">
        <f>IF(AB$2&gt;='[1]1 цех result'!$C32,$AK30,"")</f>
        <v xml:space="preserve">Строительство отпайки ВЛ-35 кВ до ВЛ-35 кВ Сидоровка - 2*12 км. Установка блока реклоузера - 1 шт. </v>
      </c>
      <c r="AE30" s="20">
        <f>IF(AE$2='[1]1 цех result'!$C32,'[1]1 цех_CapEx'!O32,0)</f>
        <v>0</v>
      </c>
      <c r="AF30" s="20">
        <f>IF(AE$2&gt;='[1]1 цех result'!$D32,'[1]1 цех_CapEx'!O32,0)</f>
        <v>0</v>
      </c>
      <c r="AG30" s="20" t="str">
        <f>IF(AE$2&gt;='[1]1 цех result'!$C32,$AK30,"")</f>
        <v xml:space="preserve">Строительство отпайки ВЛ-35 кВ до ВЛ-35 кВ Сидоровка - 2*12 км. Установка блока реклоузера - 1 шт. </v>
      </c>
      <c r="AH30" s="20">
        <f>IF(AH$2='[1]1 цех result'!$C32,'[1]1 цех_CapEx'!P32,0)</f>
        <v>0</v>
      </c>
      <c r="AI30" s="20">
        <f>IF(AH$2&gt;='[1]1 цех result'!$D32,'[1]1 цех_CapEx'!P32,0)</f>
        <v>0</v>
      </c>
      <c r="AJ30" s="20" t="str">
        <f>IF(AH$2&gt;='[1]1 цех result'!$C32,$AK30,"")</f>
        <v xml:space="preserve">Строительство отпайки ВЛ-35 кВ до ВЛ-35 кВ Сидоровка - 2*12 км. Установка блока реклоузера - 1 шт. </v>
      </c>
      <c r="AK30" s="12" t="s">
        <v>64</v>
      </c>
      <c r="AL30" s="19"/>
      <c r="AM30" s="71">
        <f>SUM(D30:AJ30)</f>
        <v>114128.91746089187</v>
      </c>
      <c r="AN30" s="71">
        <f>'[1]1 цех_CapEx'!$V32</f>
        <v>114128.91746089187</v>
      </c>
      <c r="AO30" s="71">
        <f t="shared" si="1"/>
        <v>0</v>
      </c>
      <c r="AP30" s="278"/>
      <c r="AQ30" s="277"/>
    </row>
    <row r="31" spans="1:43" ht="75">
      <c r="A31" s="78">
        <v>25</v>
      </c>
      <c r="B31" s="19" t="str">
        <f>'[1]1 цех_CapEx'!$B33</f>
        <v>ПС 110/35/6 кВ Тимашевская (все кроме замены тр-в и реконстр. ОРУ)</v>
      </c>
      <c r="C31" s="32">
        <f>'[1]1 цех_CapEx'!$W33</f>
        <v>1</v>
      </c>
      <c r="D31" s="20">
        <f>IF(D$2='[1]1 цех result'!$C33,'[1]1 цех_CapEx'!F33,0)</f>
        <v>0</v>
      </c>
      <c r="E31" s="20">
        <f>IF(D$2&gt;='[1]1 цех result'!$D33,'[1]1 цех_CapEx'!F33,0)</f>
        <v>0</v>
      </c>
      <c r="F31" s="20" t="str">
        <f>IF(D$2&gt;='[1]1 цех result'!$C33,$AK31,"")</f>
        <v/>
      </c>
      <c r="G31" s="20">
        <f>IF(G$2='[1]1 цех result'!$C33,'[1]1 цех_CapEx'!G33,0)</f>
        <v>0</v>
      </c>
      <c r="H31" s="20">
        <f>IF(G$2&gt;='[1]1 цех result'!$D33,'[1]1 цех_CapEx'!G33,0)</f>
        <v>0</v>
      </c>
      <c r="I31" s="20" t="str">
        <f>IF(G$2&gt;='[1]1 цех result'!$C33,$AK31,"")</f>
        <v/>
      </c>
      <c r="J31" s="20">
        <f>IF(J$2='[1]1 цех result'!$C33,'[1]1 цех_CapEx'!H33,0)</f>
        <v>0</v>
      </c>
      <c r="K31" s="20">
        <f>IF(J$2&gt;='[1]1 цех result'!$D33,'[1]1 цех_CapEx'!H33,0)</f>
        <v>0</v>
      </c>
      <c r="L31" s="20" t="str">
        <f>IF(J$2&gt;='[1]1 цех result'!$C33,$AK31,"")</f>
        <v/>
      </c>
      <c r="M31" s="20">
        <f>IF(M$2='[1]1 цех result'!$C33,'[1]1 цех_CapEx'!I33,0)</f>
        <v>0</v>
      </c>
      <c r="N31" s="20">
        <f>IF(M$2&gt;='[1]1 цех result'!$D33,'[1]1 цех_CapEx'!I33,0)</f>
        <v>0</v>
      </c>
      <c r="O31" s="20" t="str">
        <f>IF(M$2&gt;='[1]1 цех result'!$C33,$AK31,"")</f>
        <v/>
      </c>
      <c r="P31" s="20">
        <f>IF(P$2='[1]1 цех result'!$C33,'[1]1 цех_CapEx'!J33,0)</f>
        <v>0</v>
      </c>
      <c r="Q31" s="20">
        <f>IF(P$2&gt;='[1]1 цех result'!$D33,'[1]1 цех_CapEx'!J33,0)</f>
        <v>0</v>
      </c>
      <c r="R31" s="20" t="str">
        <f>IF(P$2&gt;='[1]1 цех result'!$C33,$AK31,"")</f>
        <v/>
      </c>
      <c r="S31" s="20">
        <f>IF(S$2='[1]1 цех result'!$C33,'[1]1 цех_CapEx'!K33,0)</f>
        <v>296.37606896869579</v>
      </c>
      <c r="T31" s="20">
        <f>IF(S$2&gt;='[1]1 цех result'!$D33,'[1]1 цех_CapEx'!K33,0)</f>
        <v>0</v>
      </c>
      <c r="U31" s="20" t="str">
        <f>IF(S$2&gt;='[1]1 цех result'!$C33,$AK31,"")</f>
        <v xml:space="preserve">Реконструкция ОРУ-35 кВ в схему 35-9 с установкой новых ячеек ВВ-35 кВ - 2 шт., 1000 А. </v>
      </c>
      <c r="V31" s="20">
        <f>IF(V$2='[1]1 цех result'!$C33,'[1]1 цех_CapEx'!L33,0)</f>
        <v>0</v>
      </c>
      <c r="W31" s="20">
        <f>IF(V$2&gt;='[1]1 цех result'!$D33,'[1]1 цех_CapEx'!L33,0)</f>
        <v>10061.967541487218</v>
      </c>
      <c r="X31" s="20" t="str">
        <f>IF(V$2&gt;='[1]1 цех result'!$C33,$AK31,"")</f>
        <v xml:space="preserve">Реконструкция ОРУ-35 кВ в схему 35-9 с установкой новых ячеек ВВ-35 кВ - 2 шт., 1000 А. </v>
      </c>
      <c r="Y31" s="20">
        <f>IF(Y$2='[1]1 цех result'!$C33,'[1]1 цех_CapEx'!M33,0)</f>
        <v>0</v>
      </c>
      <c r="Z31" s="20">
        <f>IF(Y$2&gt;='[1]1 цех result'!$D33,'[1]1 цех_CapEx'!M33,0)</f>
        <v>0</v>
      </c>
      <c r="AA31" s="20" t="str">
        <f>IF(Y$2&gt;='[1]1 цех result'!$C33,$AK31,"")</f>
        <v xml:space="preserve">Реконструкция ОРУ-35 кВ в схему 35-9 с установкой новых ячеек ВВ-35 кВ - 2 шт., 1000 А. </v>
      </c>
      <c r="AB31" s="20">
        <f>IF(AB$2='[1]1 цех result'!$C33,'[1]1 цех_CapEx'!N33,0)</f>
        <v>0</v>
      </c>
      <c r="AC31" s="20">
        <f>IF(AB$2&gt;='[1]1 цех result'!$D33,'[1]1 цех_CapEx'!N33,0)</f>
        <v>0</v>
      </c>
      <c r="AD31" s="20" t="str">
        <f>IF(AB$2&gt;='[1]1 цех result'!$C33,$AK31,"")</f>
        <v xml:space="preserve">Реконструкция ОРУ-35 кВ в схему 35-9 с установкой новых ячеек ВВ-35 кВ - 2 шт., 1000 А. </v>
      </c>
      <c r="AE31" s="20">
        <f>IF(AE$2='[1]1 цех result'!$C33,'[1]1 цех_CapEx'!O33,0)</f>
        <v>0</v>
      </c>
      <c r="AF31" s="20">
        <f>IF(AE$2&gt;='[1]1 цех result'!$D33,'[1]1 цех_CapEx'!O33,0)</f>
        <v>0</v>
      </c>
      <c r="AG31" s="20" t="str">
        <f>IF(AE$2&gt;='[1]1 цех result'!$C33,$AK31,"")</f>
        <v xml:space="preserve">Реконструкция ОРУ-35 кВ в схему 35-9 с установкой новых ячеек ВВ-35 кВ - 2 шт., 1000 А. </v>
      </c>
      <c r="AH31" s="20">
        <f>IF(AH$2='[1]1 цех result'!$C33,'[1]1 цех_CapEx'!P33,0)</f>
        <v>0</v>
      </c>
      <c r="AI31" s="20">
        <f>IF(AH$2&gt;='[1]1 цех result'!$D33,'[1]1 цех_CapEx'!P33,0)</f>
        <v>0</v>
      </c>
      <c r="AJ31" s="20" t="str">
        <f>IF(AH$2&gt;='[1]1 цех result'!$C33,$AK31,"")</f>
        <v xml:space="preserve">Реконструкция ОРУ-35 кВ в схему 35-9 с установкой новых ячеек ВВ-35 кВ - 2 шт., 1000 А. </v>
      </c>
      <c r="AK31" s="12" t="s">
        <v>63</v>
      </c>
      <c r="AL31" s="19"/>
      <c r="AM31" s="71">
        <f>SUM(D31:AJ31)</f>
        <v>10358.343610455913</v>
      </c>
      <c r="AN31" s="71">
        <f>'[1]1 цех_CapEx'!$V33</f>
        <v>10358.343610455913</v>
      </c>
      <c r="AO31" s="71">
        <f t="shared" si="1"/>
        <v>0</v>
      </c>
      <c r="AP31" s="278"/>
      <c r="AQ31" s="277"/>
    </row>
    <row r="32" spans="1:43" s="38" customFormat="1" hidden="1">
      <c r="A32" s="78">
        <f>A30+1</f>
        <v>25</v>
      </c>
      <c r="B32" s="27" t="s">
        <v>16</v>
      </c>
      <c r="C32" s="28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30"/>
      <c r="AL32" s="27"/>
      <c r="AM32" s="27"/>
      <c r="AN32" s="27"/>
      <c r="AO32" s="27"/>
      <c r="AP32" s="61"/>
      <c r="AQ32" s="77"/>
    </row>
    <row r="33" spans="1:43" ht="75">
      <c r="A33" s="78">
        <v>26</v>
      </c>
      <c r="B33" s="19" t="str">
        <f>'[1]1 цех_CapEx'!$B38</f>
        <v>ПС 35/6 Ю-Неприк 2*4000 (новая ПС)</v>
      </c>
      <c r="C33" s="32">
        <f>'[1]1 цех_CapEx'!$W38</f>
        <v>1</v>
      </c>
      <c r="D33" s="20">
        <f>IF(D$2='[1]1 цех result'!$C38,'[1]1 цех_CapEx'!F38,0)</f>
        <v>0</v>
      </c>
      <c r="E33" s="20">
        <f>IF(D$2&gt;='[1]1 цех result'!$D38,'[1]1 цех_CapEx'!F38,0)</f>
        <v>0</v>
      </c>
      <c r="F33" s="20" t="str">
        <f>IF(D$2&gt;='[1]1 цех result'!$C38,$AK33,"")</f>
        <v/>
      </c>
      <c r="G33" s="20">
        <f>IF(G$2='[1]1 цех result'!$C38,'[1]1 цех_CapEx'!G38,0)</f>
        <v>0</v>
      </c>
      <c r="H33" s="20">
        <f>IF(G$2&gt;='[1]1 цех result'!$D38,'[1]1 цех_CapEx'!G38,0)</f>
        <v>0</v>
      </c>
      <c r="I33" s="20" t="str">
        <f>IF(G$2&gt;='[1]1 цех result'!$C38,$AK33,"")</f>
        <v/>
      </c>
      <c r="J33" s="20">
        <f>IF(J$2='[1]1 цех result'!$C38,'[1]1 цех_CapEx'!H38,0)</f>
        <v>0</v>
      </c>
      <c r="K33" s="20">
        <f>IF(J$2&gt;='[1]1 цех result'!$D38,'[1]1 цех_CapEx'!H38,0)</f>
        <v>0</v>
      </c>
      <c r="L33" s="20" t="str">
        <f>IF(J$2&gt;='[1]1 цех result'!$C38,$AK33,"")</f>
        <v/>
      </c>
      <c r="M33" s="20">
        <f>IF(M$2='[1]1 цех result'!$C38,'[1]1 цех_CapEx'!I38,0)</f>
        <v>0</v>
      </c>
      <c r="N33" s="20">
        <f>IF(M$2&gt;='[1]1 цех result'!$D38,'[1]1 цех_CapEx'!I38,0)</f>
        <v>0</v>
      </c>
      <c r="O33" s="20" t="str">
        <f>IF(M$2&gt;='[1]1 цех result'!$C38,$AK33,"")</f>
        <v/>
      </c>
      <c r="P33" s="20">
        <f>IF(P$2='[1]1 цех result'!$C38,'[1]1 цех_CapEx'!J38,0)</f>
        <v>4125.8307925632926</v>
      </c>
      <c r="Q33" s="20">
        <f>IF(P$2&gt;='[1]1 цех result'!$D38,'[1]1 цех_CapEx'!J38,0)</f>
        <v>0</v>
      </c>
      <c r="R33" s="20" t="str">
        <f>IF(P$2&gt;='[1]1 цех result'!$C38,$AK33,"")</f>
        <v>Строительство:
Т-1-Т, Т-2-Т 35/6 кВ 6300 кВА - 2шт.
ОРУ- 35 кВ 35-5Н, РУ-6 кВ - две сш.</v>
      </c>
      <c r="S33" s="20">
        <f>IF(S$2='[1]1 цех result'!$C38,'[1]1 цех_CapEx'!K38,0)</f>
        <v>0</v>
      </c>
      <c r="T33" s="20">
        <f>IF(S$2&gt;='[1]1 цех result'!$D38,'[1]1 цех_CapEx'!K38,0)</f>
        <v>0</v>
      </c>
      <c r="U33" s="20" t="str">
        <f>IF(S$2&gt;='[1]1 цех result'!$C38,$AK33,"")</f>
        <v>Строительство:
Т-1-Т, Т-2-Т 35/6 кВ 6300 кВА - 2шт.
ОРУ- 35 кВ 35-5Н, РУ-6 кВ - две сш.</v>
      </c>
      <c r="V33" s="20">
        <f>IF(V$2='[1]1 цех result'!$C38,'[1]1 цех_CapEx'!L38,0)</f>
        <v>0</v>
      </c>
      <c r="W33" s="20">
        <f>IF(V$2&gt;='[1]1 цех result'!$D38,'[1]1 цех_CapEx'!L38,0)</f>
        <v>147775.91295493758</v>
      </c>
      <c r="X33" s="20" t="str">
        <f>IF(V$2&gt;='[1]1 цех result'!$C38,$AK33,"")</f>
        <v>Строительство:
Т-1-Т, Т-2-Т 35/6 кВ 6300 кВА - 2шт.
ОРУ- 35 кВ 35-5Н, РУ-6 кВ - две сш.</v>
      </c>
      <c r="Y33" s="20">
        <f>IF(Y$2='[1]1 цех result'!$C38,'[1]1 цех_CapEx'!M38,0)</f>
        <v>0</v>
      </c>
      <c r="Z33" s="20">
        <f>IF(Y$2&gt;='[1]1 цех result'!$D38,'[1]1 цех_CapEx'!M38,0)</f>
        <v>0</v>
      </c>
      <c r="AA33" s="20" t="str">
        <f>IF(Y$2&gt;='[1]1 цех result'!$C38,$AK33,"")</f>
        <v>Строительство:
Т-1-Т, Т-2-Т 35/6 кВ 6300 кВА - 2шт.
ОРУ- 35 кВ 35-5Н, РУ-6 кВ - две сш.</v>
      </c>
      <c r="AB33" s="20">
        <f>IF(AB$2='[1]1 цех result'!$C38,'[1]1 цех_CapEx'!N38,0)</f>
        <v>0</v>
      </c>
      <c r="AC33" s="20">
        <f>IF(AB$2&gt;='[1]1 цех result'!$D38,'[1]1 цех_CapEx'!N38,0)</f>
        <v>0</v>
      </c>
      <c r="AD33" s="20" t="str">
        <f>IF(AB$2&gt;='[1]1 цех result'!$C38,$AK33,"")</f>
        <v>Строительство:
Т-1-Т, Т-2-Т 35/6 кВ 6300 кВА - 2шт.
ОРУ- 35 кВ 35-5Н, РУ-6 кВ - две сш.</v>
      </c>
      <c r="AE33" s="20">
        <f>IF(AE$2='[1]1 цех result'!$C38,'[1]1 цех_CapEx'!O38,0)</f>
        <v>0</v>
      </c>
      <c r="AF33" s="20">
        <f>IF(AE$2&gt;='[1]1 цех result'!$D38,'[1]1 цех_CapEx'!O38,0)</f>
        <v>0</v>
      </c>
      <c r="AG33" s="20" t="str">
        <f>IF(AE$2&gt;='[1]1 цех result'!$C38,$AK33,"")</f>
        <v>Строительство:
Т-1-Т, Т-2-Т 35/6 кВ 6300 кВА - 2шт.
ОРУ- 35 кВ 35-5Н, РУ-6 кВ - две сш.</v>
      </c>
      <c r="AH33" s="20">
        <f>IF(AH$2='[1]1 цех result'!$C38,'[1]1 цех_CapEx'!P38,0)</f>
        <v>0</v>
      </c>
      <c r="AI33" s="20">
        <f>IF(AH$2&gt;='[1]1 цех result'!$D38,'[1]1 цех_CapEx'!P38,0)</f>
        <v>0</v>
      </c>
      <c r="AJ33" s="20" t="str">
        <f>IF(AH$2&gt;='[1]1 цех result'!$C38,$AK33,"")</f>
        <v>Строительство:
Т-1-Т, Т-2-Т 35/6 кВ 6300 кВА - 2шт.
ОРУ- 35 кВ 35-5Н, РУ-6 кВ - две сш.</v>
      </c>
      <c r="AK33" s="12" t="s">
        <v>65</v>
      </c>
      <c r="AL33" s="19"/>
      <c r="AM33" s="71">
        <f>SUM(D33:AJ33)</f>
        <v>151901.74374750088</v>
      </c>
      <c r="AN33" s="71">
        <f>'[1]1 цех_CapEx'!$V38</f>
        <v>151901.74374750088</v>
      </c>
      <c r="AO33" s="71">
        <f t="shared" si="1"/>
        <v>0</v>
      </c>
      <c r="AP33" s="55" t="s">
        <v>192</v>
      </c>
      <c r="AQ33" s="79" t="s">
        <v>178</v>
      </c>
    </row>
    <row r="34" spans="1:43" ht="45">
      <c r="A34" s="78">
        <v>27</v>
      </c>
      <c r="B34" s="19" t="str">
        <f>'[1]1 цех_CapEx'!$B39</f>
        <v xml:space="preserve">ПС 35/6 Гребенная  2*2500 </v>
      </c>
      <c r="C34" s="32">
        <f>'[1]1 цех_CapEx'!$W39</f>
        <v>1</v>
      </c>
      <c r="D34" s="20">
        <f>IF(D$2='[1]1 цех result'!$C39,'[1]1 цех_CapEx'!F39,0)</f>
        <v>0</v>
      </c>
      <c r="E34" s="20">
        <f>IF(D$2&gt;='[1]1 цех result'!$D39,'[1]1 цех_CapEx'!F39,0)</f>
        <v>0</v>
      </c>
      <c r="F34" s="20" t="str">
        <f>IF(D$2&gt;='[1]1 цех result'!$C39,$AK34,"")</f>
        <v/>
      </c>
      <c r="G34" s="20">
        <f>IF(G$2='[1]1 цех result'!$C39,'[1]1 цех_CapEx'!G39,0)</f>
        <v>0</v>
      </c>
      <c r="H34" s="20">
        <f>IF(G$2&gt;='[1]1 цех result'!$D39,'[1]1 цех_CapEx'!G39,0)</f>
        <v>0</v>
      </c>
      <c r="I34" s="20" t="str">
        <f>IF(G$2&gt;='[1]1 цех result'!$C39,$AK34,"")</f>
        <v/>
      </c>
      <c r="J34" s="20">
        <f>IF(J$2='[1]1 цех result'!$C39,'[1]1 цех_CapEx'!H39,0)</f>
        <v>0</v>
      </c>
      <c r="K34" s="20">
        <f>IF(J$2&gt;='[1]1 цех result'!$D39,'[1]1 цех_CapEx'!H39,0)</f>
        <v>0</v>
      </c>
      <c r="L34" s="20" t="str">
        <f>IF(J$2&gt;='[1]1 цех result'!$C39,$AK34,"")</f>
        <v/>
      </c>
      <c r="M34" s="20">
        <f>IF(M$2='[1]1 цех result'!$C39,'[1]1 цех_CapEx'!I39,0)</f>
        <v>0</v>
      </c>
      <c r="N34" s="20">
        <f>IF(M$2&gt;='[1]1 цех result'!$D39,'[1]1 цех_CapEx'!I39,0)</f>
        <v>0</v>
      </c>
      <c r="O34" s="20" t="str">
        <f>IF(M$2&gt;='[1]1 цех result'!$C39,$AK34,"")</f>
        <v/>
      </c>
      <c r="P34" s="20">
        <f>IF(P$2='[1]1 цех result'!$C39,'[1]1 цех_CapEx'!J39,0)</f>
        <v>4.8620874112934755</v>
      </c>
      <c r="Q34" s="20">
        <f>IF(P$2&gt;='[1]1 цех result'!$D39,'[1]1 цех_CapEx'!J39,0)</f>
        <v>0</v>
      </c>
      <c r="R34" s="20" t="str">
        <f>IF(P$2&gt;='[1]1 цех result'!$C39,$AK34,"")</f>
        <v>Реконструкция РУ 6 кВ</v>
      </c>
      <c r="S34" s="20">
        <f>IF(S$2='[1]1 цех result'!$C39,'[1]1 цех_CapEx'!K39,0)</f>
        <v>0</v>
      </c>
      <c r="T34" s="20">
        <f>IF(S$2&gt;='[1]1 цех result'!$D39,'[1]1 цех_CapEx'!K39,0)</f>
        <v>0</v>
      </c>
      <c r="U34" s="20" t="str">
        <f>IF(S$2&gt;='[1]1 цех result'!$C39,$AK34,"")</f>
        <v>Реконструкция РУ 6 кВ</v>
      </c>
      <c r="V34" s="20">
        <f>IF(V$2='[1]1 цех result'!$C39,'[1]1 цех_CapEx'!L39,0)</f>
        <v>0</v>
      </c>
      <c r="W34" s="20">
        <f>IF(V$2&gt;='[1]1 цех result'!$D39,'[1]1 цех_CapEx'!L39,0)</f>
        <v>174.14660033215122</v>
      </c>
      <c r="X34" s="20" t="str">
        <f>IF(V$2&gt;='[1]1 цех result'!$C39,$AK34,"")</f>
        <v>Реконструкция РУ 6 кВ</v>
      </c>
      <c r="Y34" s="20">
        <f>IF(Y$2='[1]1 цех result'!$C39,'[1]1 цех_CapEx'!M39,0)</f>
        <v>0</v>
      </c>
      <c r="Z34" s="20">
        <f>IF(Y$2&gt;='[1]1 цех result'!$D39,'[1]1 цех_CapEx'!M39,0)</f>
        <v>0</v>
      </c>
      <c r="AA34" s="20" t="str">
        <f>IF(Y$2&gt;='[1]1 цех result'!$C39,$AK34,"")</f>
        <v>Реконструкция РУ 6 кВ</v>
      </c>
      <c r="AB34" s="20">
        <f>IF(AB$2='[1]1 цех result'!$C39,'[1]1 цех_CapEx'!N39,0)</f>
        <v>0</v>
      </c>
      <c r="AC34" s="20">
        <f>IF(AB$2&gt;='[1]1 цех result'!$D39,'[1]1 цех_CapEx'!N39,0)</f>
        <v>0</v>
      </c>
      <c r="AD34" s="20" t="str">
        <f>IF(AB$2&gt;='[1]1 цех result'!$C39,$AK34,"")</f>
        <v>Реконструкция РУ 6 кВ</v>
      </c>
      <c r="AE34" s="20">
        <f>IF(AE$2='[1]1 цех result'!$C39,'[1]1 цех_CapEx'!O39,0)</f>
        <v>0</v>
      </c>
      <c r="AF34" s="20">
        <f>IF(AE$2&gt;='[1]1 цех result'!$D39,'[1]1 цех_CapEx'!O39,0)</f>
        <v>0</v>
      </c>
      <c r="AG34" s="20" t="str">
        <f>IF(AE$2&gt;='[1]1 цех result'!$C39,$AK34,"")</f>
        <v>Реконструкция РУ 6 кВ</v>
      </c>
      <c r="AH34" s="20">
        <f>IF(AH$2='[1]1 цех result'!$C39,'[1]1 цех_CapEx'!P39,0)</f>
        <v>0</v>
      </c>
      <c r="AI34" s="20">
        <f>IF(AH$2&gt;='[1]1 цех result'!$D39,'[1]1 цех_CapEx'!P39,0)</f>
        <v>0</v>
      </c>
      <c r="AJ34" s="20" t="str">
        <f>IF(AH$2&gt;='[1]1 цех result'!$C39,$AK34,"")</f>
        <v>Реконструкция РУ 6 кВ</v>
      </c>
      <c r="AK34" s="12" t="s">
        <v>66</v>
      </c>
      <c r="AL34" s="19"/>
      <c r="AM34" s="71">
        <f>SUM(D34:AJ34)</f>
        <v>179.00868774344471</v>
      </c>
      <c r="AN34" s="71">
        <f>'[1]1 цех_CapEx'!$V39</f>
        <v>179.00868774344471</v>
      </c>
      <c r="AO34" s="71">
        <f t="shared" si="1"/>
        <v>0</v>
      </c>
      <c r="AP34" s="55" t="s">
        <v>193</v>
      </c>
      <c r="AQ34" s="79" t="s">
        <v>178</v>
      </c>
    </row>
    <row r="35" spans="1:43" ht="150">
      <c r="A35" s="78">
        <v>28</v>
      </c>
      <c r="B35" s="19" t="str">
        <f>'[1]1 цех_CapEx'!$B40</f>
        <v>ПС 35/6 Елховская
2* 4000</v>
      </c>
      <c r="C35" s="32">
        <f>'[1]1 цех_CapEx'!$W40</f>
        <v>1</v>
      </c>
      <c r="D35" s="20">
        <f>IF(D$2='[1]1 цех result'!$C40,'[1]1 цех_CapEx'!F40,0)</f>
        <v>0</v>
      </c>
      <c r="E35" s="20">
        <f>IF(D$2&gt;='[1]1 цех result'!$D40,'[1]1 цех_CapEx'!F40,0)</f>
        <v>0</v>
      </c>
      <c r="F35" s="20" t="str">
        <f>IF(D$2&gt;='[1]1 цех result'!$C40,$AK35,"")</f>
        <v/>
      </c>
      <c r="G35" s="20">
        <f>IF(G$2='[1]1 цех result'!$C40,'[1]1 цех_CapEx'!G40,0)</f>
        <v>0</v>
      </c>
      <c r="H35" s="20">
        <f>IF(G$2&gt;='[1]1 цех result'!$D40,'[1]1 цех_CapEx'!G40,0)</f>
        <v>0</v>
      </c>
      <c r="I35" s="20" t="str">
        <f>IF(G$2&gt;='[1]1 цех result'!$C40,$AK35,"")</f>
        <v/>
      </c>
      <c r="J35" s="20">
        <f>IF(J$2='[1]1 цех result'!$C40,'[1]1 цех_CapEx'!H40,0)</f>
        <v>0</v>
      </c>
      <c r="K35" s="20">
        <f>IF(J$2&gt;='[1]1 цех result'!$D40,'[1]1 цех_CapEx'!H40,0)</f>
        <v>0</v>
      </c>
      <c r="L35" s="20" t="str">
        <f>IF(J$2&gt;='[1]1 цех result'!$C40,$AK35,"")</f>
        <v/>
      </c>
      <c r="M35" s="20">
        <f>IF(M$2='[1]1 цех result'!$C40,'[1]1 цех_CapEx'!I40,0)</f>
        <v>0</v>
      </c>
      <c r="N35" s="20">
        <f>IF(M$2&gt;='[1]1 цех result'!$D40,'[1]1 цех_CapEx'!I40,0)</f>
        <v>0</v>
      </c>
      <c r="O35" s="20" t="str">
        <f>IF(M$2&gt;='[1]1 цех result'!$C40,$AK35,"")</f>
        <v/>
      </c>
      <c r="P35" s="20">
        <f>IF(P$2='[1]1 цех result'!$C40,'[1]1 цех_CapEx'!J40,0)</f>
        <v>1602.5136154281254</v>
      </c>
      <c r="Q35" s="20">
        <f>IF(P$2&gt;='[1]1 цех result'!$D40,'[1]1 цех_CapEx'!J40,0)</f>
        <v>0</v>
      </c>
      <c r="R35" s="20" t="str">
        <f>IF(P$2&gt;='[1]1 цех result'!$C40,$AK35,"")</f>
        <v xml:space="preserve">Замена Т-1-Т, Т-2-Т 35/6 кВ 4000 кВА - 2шт. Реконструкция ОРУ-35 кВ. Схема - 35-5Н. ВВ-35 кВ - 1 шт. 1000 А. Заход ВЛ 35 кВ Неприк-1 длиной ~0,1 км АС-95 на РУ 35 кВ ПС Елховская с ликвидацией отпайки. </v>
      </c>
      <c r="S35" s="20">
        <f>IF(S$2='[1]1 цех result'!$C40,'[1]1 цех_CapEx'!K40,0)</f>
        <v>0</v>
      </c>
      <c r="T35" s="20">
        <f>IF(S$2&gt;='[1]1 цех result'!$D40,'[1]1 цех_CapEx'!K40,0)</f>
        <v>0</v>
      </c>
      <c r="U35" s="20" t="str">
        <f>IF(S$2&gt;='[1]1 цех result'!$C40,$AK35,"")</f>
        <v xml:space="preserve">Замена Т-1-Т, Т-2-Т 35/6 кВ 4000 кВА - 2шт. Реконструкция ОРУ-35 кВ. Схема - 35-5Н. ВВ-35 кВ - 1 шт. 1000 А. Заход ВЛ 35 кВ Неприк-1 длиной ~0,1 км АС-95 на РУ 35 кВ ПС Елховская с ликвидацией отпайки. </v>
      </c>
      <c r="V35" s="20">
        <f>IF(V$2='[1]1 цех result'!$C40,'[1]1 цех_CapEx'!L40,0)</f>
        <v>0</v>
      </c>
      <c r="W35" s="20">
        <f>IF(V$2&gt;='[1]1 цех result'!$D40,'[1]1 цех_CapEx'!L40,0)</f>
        <v>56951.348311647598</v>
      </c>
      <c r="X35" s="20" t="str">
        <f>IF(V$2&gt;='[1]1 цех result'!$C40,$AK35,"")</f>
        <v xml:space="preserve">Замена Т-1-Т, Т-2-Т 35/6 кВ 4000 кВА - 2шт. Реконструкция ОРУ-35 кВ. Схема - 35-5Н. ВВ-35 кВ - 1 шт. 1000 А. Заход ВЛ 35 кВ Неприк-1 длиной ~0,1 км АС-95 на РУ 35 кВ ПС Елховская с ликвидацией отпайки. </v>
      </c>
      <c r="Y35" s="20">
        <f>IF(Y$2='[1]1 цех result'!$C40,'[1]1 цех_CapEx'!M40,0)</f>
        <v>0</v>
      </c>
      <c r="Z35" s="20">
        <f>IF(Y$2&gt;='[1]1 цех result'!$D40,'[1]1 цех_CapEx'!M40,0)</f>
        <v>0</v>
      </c>
      <c r="AA35" s="20" t="str">
        <f>IF(Y$2&gt;='[1]1 цех result'!$C40,$AK35,"")</f>
        <v xml:space="preserve">Замена Т-1-Т, Т-2-Т 35/6 кВ 4000 кВА - 2шт. Реконструкция ОРУ-35 кВ. Схема - 35-5Н. ВВ-35 кВ - 1 шт. 1000 А. Заход ВЛ 35 кВ Неприк-1 длиной ~0,1 км АС-95 на РУ 35 кВ ПС Елховская с ликвидацией отпайки. </v>
      </c>
      <c r="AB35" s="20">
        <f>IF(AB$2='[1]1 цех result'!$C40,'[1]1 цех_CapEx'!N40,0)</f>
        <v>0</v>
      </c>
      <c r="AC35" s="20">
        <f>IF(AB$2&gt;='[1]1 цех result'!$D40,'[1]1 цех_CapEx'!N40,0)</f>
        <v>0</v>
      </c>
      <c r="AD35" s="20" t="str">
        <f>IF(AB$2&gt;='[1]1 цех result'!$C40,$AK35,"")</f>
        <v xml:space="preserve">Замена Т-1-Т, Т-2-Т 35/6 кВ 4000 кВА - 2шт. Реконструкция ОРУ-35 кВ. Схема - 35-5Н. ВВ-35 кВ - 1 шт. 1000 А. Заход ВЛ 35 кВ Неприк-1 длиной ~0,1 км АС-95 на РУ 35 кВ ПС Елховская с ликвидацией отпайки. </v>
      </c>
      <c r="AE35" s="20">
        <f>IF(AE$2='[1]1 цех result'!$C40,'[1]1 цех_CapEx'!O40,0)</f>
        <v>0</v>
      </c>
      <c r="AF35" s="20">
        <f>IF(AE$2&gt;='[1]1 цех result'!$D40,'[1]1 цех_CapEx'!O40,0)</f>
        <v>0</v>
      </c>
      <c r="AG35" s="20" t="str">
        <f>IF(AE$2&gt;='[1]1 цех result'!$C40,$AK35,"")</f>
        <v xml:space="preserve">Замена Т-1-Т, Т-2-Т 35/6 кВ 4000 кВА - 2шт. Реконструкция ОРУ-35 кВ. Схема - 35-5Н. ВВ-35 кВ - 1 шт. 1000 А. Заход ВЛ 35 кВ Неприк-1 длиной ~0,1 км АС-95 на РУ 35 кВ ПС Елховская с ликвидацией отпайки. </v>
      </c>
      <c r="AH35" s="20">
        <f>IF(AH$2='[1]1 цех result'!$C40,'[1]1 цех_CapEx'!P40,0)</f>
        <v>0</v>
      </c>
      <c r="AI35" s="20">
        <f>IF(AH$2&gt;='[1]1 цех result'!$D40,'[1]1 цех_CapEx'!P40,0)</f>
        <v>0</v>
      </c>
      <c r="AJ35" s="20" t="str">
        <f>IF(AH$2&gt;='[1]1 цех result'!$C40,$AK35,"")</f>
        <v xml:space="preserve">Замена Т-1-Т, Т-2-Т 35/6 кВ 4000 кВА - 2шт. Реконструкция ОРУ-35 кВ. Схема - 35-5Н. ВВ-35 кВ - 1 шт. 1000 А. Заход ВЛ 35 кВ Неприк-1 длиной ~0,1 км АС-95 на РУ 35 кВ ПС Елховская с ликвидацией отпайки. </v>
      </c>
      <c r="AK35" s="12" t="s">
        <v>67</v>
      </c>
      <c r="AL35" s="19"/>
      <c r="AM35" s="71">
        <f>SUM(D35:AJ35)</f>
        <v>58553.861927075726</v>
      </c>
      <c r="AN35" s="71">
        <f>'[1]1 цех_CapEx'!$V40</f>
        <v>58553.861927075726</v>
      </c>
      <c r="AO35" s="71">
        <f t="shared" si="1"/>
        <v>0</v>
      </c>
      <c r="AP35" s="55" t="s">
        <v>194</v>
      </c>
      <c r="AQ35" s="79" t="s">
        <v>178</v>
      </c>
    </row>
    <row r="36" spans="1:43" ht="60">
      <c r="A36" s="78">
        <v>29</v>
      </c>
      <c r="B36" s="19" t="str">
        <f>'[1]1 цех_CapEx'!$B41</f>
        <v xml:space="preserve">ПС 35/6 Долматовская  1*2500 </v>
      </c>
      <c r="C36" s="32">
        <f>'[1]1 цех_CapEx'!$W41</f>
        <v>1</v>
      </c>
      <c r="D36" s="20">
        <f>IF(D$2='[1]1 цех result'!$C41,'[1]1 цех_CapEx'!F41,0)</f>
        <v>0</v>
      </c>
      <c r="E36" s="20">
        <f>IF(D$2&gt;='[1]1 цех result'!$D41,'[1]1 цех_CapEx'!F41,0)</f>
        <v>0</v>
      </c>
      <c r="F36" s="20" t="str">
        <f>IF(D$2&gt;='[1]1 цех result'!$C41,$AK36,"")</f>
        <v/>
      </c>
      <c r="G36" s="20">
        <f>IF(G$2='[1]1 цех result'!$C41,'[1]1 цех_CapEx'!G41,0)</f>
        <v>0</v>
      </c>
      <c r="H36" s="20">
        <f>IF(G$2&gt;='[1]1 цех result'!$D41,'[1]1 цех_CapEx'!G41,0)</f>
        <v>0</v>
      </c>
      <c r="I36" s="20" t="str">
        <f>IF(G$2&gt;='[1]1 цех result'!$C41,$AK36,"")</f>
        <v/>
      </c>
      <c r="J36" s="20">
        <f>IF(J$2='[1]1 цех result'!$C41,'[1]1 цех_CapEx'!H41,0)</f>
        <v>0</v>
      </c>
      <c r="K36" s="20">
        <f>IF(J$2&gt;='[1]1 цех result'!$D41,'[1]1 цех_CapEx'!H41,0)</f>
        <v>0</v>
      </c>
      <c r="L36" s="20" t="str">
        <f>IF(J$2&gt;='[1]1 цех result'!$C41,$AK36,"")</f>
        <v/>
      </c>
      <c r="M36" s="20">
        <f>IF(M$2='[1]1 цех result'!$C41,'[1]1 цех_CapEx'!I41,0)</f>
        <v>0</v>
      </c>
      <c r="N36" s="20">
        <f>IF(M$2&gt;='[1]1 цех result'!$D41,'[1]1 цех_CapEx'!I41,0)</f>
        <v>0</v>
      </c>
      <c r="O36" s="20" t="str">
        <f>IF(M$2&gt;='[1]1 цех result'!$C41,$AK36,"")</f>
        <v/>
      </c>
      <c r="P36" s="20">
        <f>IF(P$2='[1]1 цех result'!$C41,'[1]1 цех_CapEx'!J41,0)</f>
        <v>1069.9670706979905</v>
      </c>
      <c r="Q36" s="20">
        <f>IF(P$2&gt;='[1]1 цех result'!$D41,'[1]1 цех_CapEx'!J41,0)</f>
        <v>0</v>
      </c>
      <c r="R36" s="20" t="str">
        <f>IF(P$2&gt;='[1]1 цех result'!$C41,$AK36,"")</f>
        <v>Реконструкция ОРУ-35 кВ. Схема - 35-4Н. КРУН-6 кВ минимум 8 ячеек на две сш.</v>
      </c>
      <c r="S36" s="20">
        <f>IF(S$2='[1]1 цех result'!$C41,'[1]1 цех_CapEx'!K41,0)</f>
        <v>0</v>
      </c>
      <c r="T36" s="20">
        <f>IF(S$2&gt;='[1]1 цех result'!$D41,'[1]1 цех_CapEx'!K41,0)</f>
        <v>0</v>
      </c>
      <c r="U36" s="20" t="str">
        <f>IF(S$2&gt;='[1]1 цех result'!$C41,$AK36,"")</f>
        <v>Реконструкция ОРУ-35 кВ. Схема - 35-4Н. КРУН-6 кВ минимум 8 ячеек на две сш.</v>
      </c>
      <c r="V36" s="20">
        <f>IF(V$2='[1]1 цех result'!$C41,'[1]1 цех_CapEx'!L41,0)</f>
        <v>0</v>
      </c>
      <c r="W36" s="20">
        <f>IF(V$2&gt;='[1]1 цех result'!$D41,'[1]1 цех_CapEx'!L41,0)</f>
        <v>38323.278062957601</v>
      </c>
      <c r="X36" s="20" t="str">
        <f>IF(V$2&gt;='[1]1 цех result'!$C41,$AK36,"")</f>
        <v>Реконструкция ОРУ-35 кВ. Схема - 35-4Н. КРУН-6 кВ минимум 8 ячеек на две сш.</v>
      </c>
      <c r="Y36" s="20">
        <f>IF(Y$2='[1]1 цех result'!$C41,'[1]1 цех_CapEx'!M41,0)</f>
        <v>0</v>
      </c>
      <c r="Z36" s="20">
        <f>IF(Y$2&gt;='[1]1 цех result'!$D41,'[1]1 цех_CapEx'!M41,0)</f>
        <v>0</v>
      </c>
      <c r="AA36" s="20" t="str">
        <f>IF(Y$2&gt;='[1]1 цех result'!$C41,$AK36,"")</f>
        <v>Реконструкция ОРУ-35 кВ. Схема - 35-4Н. КРУН-6 кВ минимум 8 ячеек на две сш.</v>
      </c>
      <c r="AB36" s="20">
        <f>IF(AB$2='[1]1 цех result'!$C41,'[1]1 цех_CapEx'!N41,0)</f>
        <v>0</v>
      </c>
      <c r="AC36" s="20">
        <f>IF(AB$2&gt;='[1]1 цех result'!$D41,'[1]1 цех_CapEx'!N41,0)</f>
        <v>0</v>
      </c>
      <c r="AD36" s="20" t="str">
        <f>IF(AB$2&gt;='[1]1 цех result'!$C41,$AK36,"")</f>
        <v>Реконструкция ОРУ-35 кВ. Схема - 35-4Н. КРУН-6 кВ минимум 8 ячеек на две сш.</v>
      </c>
      <c r="AE36" s="20">
        <f>IF(AE$2='[1]1 цех result'!$C41,'[1]1 цех_CapEx'!O41,0)</f>
        <v>0</v>
      </c>
      <c r="AF36" s="20">
        <f>IF(AE$2&gt;='[1]1 цех result'!$D41,'[1]1 цех_CapEx'!O41,0)</f>
        <v>0</v>
      </c>
      <c r="AG36" s="20" t="str">
        <f>IF(AE$2&gt;='[1]1 цех result'!$C41,$AK36,"")</f>
        <v>Реконструкция ОРУ-35 кВ. Схема - 35-4Н. КРУН-6 кВ минимум 8 ячеек на две сш.</v>
      </c>
      <c r="AH36" s="20">
        <f>IF(AH$2='[1]1 цех result'!$C41,'[1]1 цех_CapEx'!P41,0)</f>
        <v>0</v>
      </c>
      <c r="AI36" s="20">
        <f>IF(AH$2&gt;='[1]1 цех result'!$D41,'[1]1 цех_CapEx'!P41,0)</f>
        <v>0</v>
      </c>
      <c r="AJ36" s="20" t="str">
        <f>IF(AH$2&gt;='[1]1 цех result'!$C41,$AK36,"")</f>
        <v>Реконструкция ОРУ-35 кВ. Схема - 35-4Н. КРУН-6 кВ минимум 8 ячеек на две сш.</v>
      </c>
      <c r="AK36" s="12" t="s">
        <v>68</v>
      </c>
      <c r="AL36" s="19"/>
      <c r="AM36" s="71">
        <f>SUM(D36:AJ36)</f>
        <v>39393.24513365559</v>
      </c>
      <c r="AN36" s="71">
        <f>'[1]1 цех_CapEx'!$V41</f>
        <v>39393.24513365559</v>
      </c>
      <c r="AO36" s="71">
        <f t="shared" si="1"/>
        <v>0</v>
      </c>
      <c r="AP36" s="55" t="s">
        <v>195</v>
      </c>
      <c r="AQ36" s="79" t="s">
        <v>178</v>
      </c>
    </row>
    <row r="37" spans="1:43" s="38" customFormat="1" hidden="1">
      <c r="A37" s="78">
        <f>A35+1</f>
        <v>29</v>
      </c>
      <c r="B37" s="27" t="s">
        <v>17</v>
      </c>
      <c r="C37" s="28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30"/>
      <c r="AL37" s="27"/>
      <c r="AM37" s="27"/>
      <c r="AN37" s="27"/>
      <c r="AO37" s="27"/>
      <c r="AP37" s="61"/>
      <c r="AQ37" s="77"/>
    </row>
    <row r="38" spans="1:43" ht="105">
      <c r="A38" s="78">
        <v>30</v>
      </c>
      <c r="B38" s="19" t="str">
        <f>'[1]1 цех_CapEx'!$B49</f>
        <v>ПС 35/6 1х4000 кВА кВ "Н-Ключевская"</v>
      </c>
      <c r="C38" s="32">
        <f>'[1]1 цех_CapEx'!$W49</f>
        <v>1</v>
      </c>
      <c r="D38" s="20">
        <f>IF(D$2='[1]1 цех result'!$C49,'[1]1 цех_CapEx'!F49,0)</f>
        <v>0</v>
      </c>
      <c r="E38" s="20">
        <f>IF(D$2&gt;='[1]1 цех result'!$D49,'[1]1 цех_CapEx'!F49,0)</f>
        <v>0</v>
      </c>
      <c r="F38" s="20" t="str">
        <f>IF(D$2&gt;='[1]1 цех result'!$C49,$AK38,"")</f>
        <v/>
      </c>
      <c r="G38" s="20">
        <f>IF(G$2='[1]1 цех result'!$C49,'[1]1 цех_CapEx'!G49,0)</f>
        <v>0</v>
      </c>
      <c r="H38" s="20">
        <f>IF(G$2&gt;='[1]1 цех result'!$D49,'[1]1 цех_CapEx'!G49,0)</f>
        <v>0</v>
      </c>
      <c r="I38" s="20" t="str">
        <f>IF(G$2&gt;='[1]1 цех result'!$C49,$AK38,"")</f>
        <v/>
      </c>
      <c r="J38" s="20">
        <f>IF(J$2='[1]1 цех result'!$C49,'[1]1 цех_CapEx'!H49,0)</f>
        <v>0</v>
      </c>
      <c r="K38" s="20">
        <f>IF(J$2&gt;='[1]1 цех result'!$D49,'[1]1 цех_CapEx'!H49,0)</f>
        <v>0</v>
      </c>
      <c r="L38" s="20" t="str">
        <f>IF(J$2&gt;='[1]1 цех result'!$C49,$AK38,"")</f>
        <v/>
      </c>
      <c r="M38" s="20">
        <f>IF(M$2='[1]1 цех result'!$C49,'[1]1 цех_CapEx'!I49,0)</f>
        <v>0</v>
      </c>
      <c r="N38" s="20">
        <f>IF(M$2&gt;='[1]1 цех result'!$D49,'[1]1 цех_CapEx'!I49,0)</f>
        <v>0</v>
      </c>
      <c r="O38" s="20" t="str">
        <f>IF(M$2&gt;='[1]1 цех result'!$C49,$AK38,"")</f>
        <v/>
      </c>
      <c r="P38" s="20">
        <f>IF(P$2='[1]1 цех result'!$C49,'[1]1 цех_CapEx'!J49,0)</f>
        <v>0</v>
      </c>
      <c r="Q38" s="20">
        <f>IF(P$2&gt;='[1]1 цех result'!$D49,'[1]1 цех_CapEx'!J49,0)</f>
        <v>0</v>
      </c>
      <c r="R38" s="20" t="str">
        <f>IF(P$2&gt;='[1]1 цех result'!$C49,$AK38,"")</f>
        <v/>
      </c>
      <c r="S38" s="20">
        <f>IF(S$2='[1]1 цех result'!$C49,'[1]1 цех_CapEx'!K49,0)</f>
        <v>2770.852942165262</v>
      </c>
      <c r="T38" s="20">
        <f>IF(S$2&gt;='[1]1 цех result'!$D49,'[1]1 цех_CapEx'!K49,0)</f>
        <v>0</v>
      </c>
      <c r="U38" s="20" t="str">
        <f>IF(S$2&gt;='[1]1 цех result'!$C49,$AK38,"")</f>
        <v>Установка Т-2-Т 35/6 кВ 4000 кВА - 1шт.; Реконструкция ОРУ-35 кВ. Схема - 35-5Н.     ВВ-35 кВ - 2 шт. 1000 А 
Сооружение ВЛ 35 кВ 4,7 км АС-95</v>
      </c>
      <c r="V38" s="20">
        <f>IF(V$2='[1]1 цех result'!$C49,'[1]1 цех_CapEx'!L49,0)</f>
        <v>0</v>
      </c>
      <c r="W38" s="20">
        <f>IF(V$2&gt;='[1]1 цех result'!$D49,'[1]1 цех_CapEx'!L49,0)</f>
        <v>64657.149650762018</v>
      </c>
      <c r="X38" s="20" t="str">
        <f>IF(V$2&gt;='[1]1 цех result'!$C49,$AK38,"")</f>
        <v>Установка Т-2-Т 35/6 кВ 4000 кВА - 1шт.; Реконструкция ОРУ-35 кВ. Схема - 35-5Н.     ВВ-35 кВ - 2 шт. 1000 А 
Сооружение ВЛ 35 кВ 4,7 км АС-95</v>
      </c>
      <c r="Y38" s="20">
        <f>IF(Y$2='[1]1 цех result'!$C49,'[1]1 цех_CapEx'!M49,0)</f>
        <v>0</v>
      </c>
      <c r="Z38" s="20">
        <f>IF(Y$2&gt;='[1]1 цех result'!$D49,'[1]1 цех_CapEx'!M49,0)</f>
        <v>0</v>
      </c>
      <c r="AA38" s="20" t="str">
        <f>IF(Y$2&gt;='[1]1 цех result'!$C49,$AK38,"")</f>
        <v>Установка Т-2-Т 35/6 кВ 4000 кВА - 1шт.; Реконструкция ОРУ-35 кВ. Схема - 35-5Н.     ВВ-35 кВ - 2 шт. 1000 А 
Сооружение ВЛ 35 кВ 4,7 км АС-95</v>
      </c>
      <c r="AB38" s="20">
        <f>IF(AB$2='[1]1 цех result'!$C49,'[1]1 цех_CapEx'!N49,0)</f>
        <v>0</v>
      </c>
      <c r="AC38" s="20">
        <f>IF(AB$2&gt;='[1]1 цех result'!$D49,'[1]1 цех_CapEx'!N49,0)</f>
        <v>0</v>
      </c>
      <c r="AD38" s="20" t="str">
        <f>IF(AB$2&gt;='[1]1 цех result'!$C49,$AK38,"")</f>
        <v>Установка Т-2-Т 35/6 кВ 4000 кВА - 1шт.; Реконструкция ОРУ-35 кВ. Схема - 35-5Н.     ВВ-35 кВ - 2 шт. 1000 А 
Сооружение ВЛ 35 кВ 4,7 км АС-95</v>
      </c>
      <c r="AE38" s="20">
        <f>IF(AE$2='[1]1 цех result'!$C49,'[1]1 цех_CapEx'!O49,0)</f>
        <v>0</v>
      </c>
      <c r="AF38" s="20">
        <f>IF(AE$2&gt;='[1]1 цех result'!$D49,'[1]1 цех_CapEx'!O49,0)</f>
        <v>0</v>
      </c>
      <c r="AG38" s="20" t="str">
        <f>IF(AE$2&gt;='[1]1 цех result'!$C49,$AK38,"")</f>
        <v>Установка Т-2-Т 35/6 кВ 4000 кВА - 1шт.; Реконструкция ОРУ-35 кВ. Схема - 35-5Н.     ВВ-35 кВ - 2 шт. 1000 А 
Сооружение ВЛ 35 кВ 4,7 км АС-95</v>
      </c>
      <c r="AH38" s="20">
        <f>IF(AH$2='[1]1 цех result'!$C49,'[1]1 цех_CapEx'!P49,0)</f>
        <v>0</v>
      </c>
      <c r="AI38" s="20">
        <f>IF(AH$2&gt;='[1]1 цех result'!$D49,'[1]1 цех_CapEx'!P49,0)</f>
        <v>0</v>
      </c>
      <c r="AJ38" s="20" t="str">
        <f>IF(AH$2&gt;='[1]1 цех result'!$C49,$AK38,"")</f>
        <v>Установка Т-2-Т 35/6 кВ 4000 кВА - 1шт.; Реконструкция ОРУ-35 кВ. Схема - 35-5Н.     ВВ-35 кВ - 2 шт. 1000 А 
Сооружение ВЛ 35 кВ 4,7 км АС-95</v>
      </c>
      <c r="AK38" s="12" t="s">
        <v>53</v>
      </c>
      <c r="AL38" s="19"/>
      <c r="AM38" s="71">
        <f>SUM(D38:AJ38)</f>
        <v>67428.002592927282</v>
      </c>
      <c r="AN38" s="71">
        <f>'[1]1 цех_CapEx'!$V49</f>
        <v>67428.002592927282</v>
      </c>
      <c r="AO38" s="71">
        <f t="shared" si="1"/>
        <v>0</v>
      </c>
      <c r="AP38" s="55" t="s">
        <v>187</v>
      </c>
      <c r="AQ38" s="79" t="s">
        <v>178</v>
      </c>
    </row>
    <row r="39" spans="1:43" ht="75">
      <c r="A39" s="78">
        <v>31</v>
      </c>
      <c r="B39" s="19" t="str">
        <f>'[1]1 цех_CapEx'!$B50</f>
        <v xml:space="preserve">ПС 35/6 кВ 2х3200 кВА "В-Черновская" </v>
      </c>
      <c r="C39" s="32">
        <f>'[1]1 цех_CapEx'!$W50</f>
        <v>1</v>
      </c>
      <c r="D39" s="20">
        <f>IF(D$2='[1]1 цех result'!$C50,'[1]1 цех_CapEx'!F50,0)</f>
        <v>0</v>
      </c>
      <c r="E39" s="20">
        <f>IF(D$2&gt;='[1]1 цех result'!$D50,'[1]1 цех_CapEx'!F50,0)</f>
        <v>0</v>
      </c>
      <c r="F39" s="20" t="str">
        <f>IF(D$2&gt;='[1]1 цех result'!$C50,$AK39,"")</f>
        <v/>
      </c>
      <c r="G39" s="20">
        <f>IF(G$2='[1]1 цех result'!$C50,'[1]1 цех_CapEx'!G50,0)</f>
        <v>0</v>
      </c>
      <c r="H39" s="20">
        <f>IF(G$2&gt;='[1]1 цех result'!$D50,'[1]1 цех_CapEx'!G50,0)</f>
        <v>0</v>
      </c>
      <c r="I39" s="20" t="str">
        <f>IF(G$2&gt;='[1]1 цех result'!$C50,$AK39,"")</f>
        <v/>
      </c>
      <c r="J39" s="20">
        <f>IF(J$2='[1]1 цех result'!$C50,'[1]1 цех_CapEx'!H50,0)</f>
        <v>0</v>
      </c>
      <c r="K39" s="20">
        <f>IF(J$2&gt;='[1]1 цех result'!$D50,'[1]1 цех_CapEx'!H50,0)</f>
        <v>0</v>
      </c>
      <c r="L39" s="20" t="str">
        <f>IF(J$2&gt;='[1]1 цех result'!$C50,$AK39,"")</f>
        <v/>
      </c>
      <c r="M39" s="20">
        <f>IF(M$2='[1]1 цех result'!$C50,'[1]1 цех_CapEx'!I50,0)</f>
        <v>1477.0405510551288</v>
      </c>
      <c r="N39" s="20">
        <f>IF(M$2&gt;='[1]1 цех result'!$D50,'[1]1 цех_CapEx'!I50,0)</f>
        <v>0</v>
      </c>
      <c r="O39" s="20" t="str">
        <f>IF(M$2&gt;='[1]1 цех result'!$C50,$AK39,"")</f>
        <v>Т-1-Т, Т-2-Т35/6 кВ 4000 кВА - 2шт. Организация ОРУ 35 по схеме 35-5Н. ВВ-35 кВ - 1000 А - 1 шт.</v>
      </c>
      <c r="P39" s="20">
        <f>IF(P$2='[1]1 цех result'!$C50,'[1]1 цех_CapEx'!J50,0)</f>
        <v>0</v>
      </c>
      <c r="Q39" s="20">
        <f>IF(P$2&gt;='[1]1 цех result'!$D50,'[1]1 цех_CapEx'!J50,0)</f>
        <v>0</v>
      </c>
      <c r="R39" s="20" t="str">
        <f>IF(P$2&gt;='[1]1 цех result'!$C50,$AK39,"")</f>
        <v>Т-1-Т, Т-2-Т35/6 кВ 4000 кВА - 2шт. Организация ОРУ 35 по схеме 35-5Н. ВВ-35 кВ - 1000 А - 1 шт.</v>
      </c>
      <c r="S39" s="20">
        <f>IF(S$2='[1]1 цех result'!$C50,'[1]1 цех_CapEx'!K50,0)</f>
        <v>0</v>
      </c>
      <c r="T39" s="20">
        <f>IF(S$2&gt;='[1]1 цех result'!$D50,'[1]1 цех_CapEx'!K50,0)</f>
        <v>53508.142456448215</v>
      </c>
      <c r="U39" s="20" t="str">
        <f>IF(S$2&gt;='[1]1 цех result'!$C50,$AK39,"")</f>
        <v>Т-1-Т, Т-2-Т35/6 кВ 4000 кВА - 2шт. Организация ОРУ 35 по схеме 35-5Н. ВВ-35 кВ - 1000 А - 1 шт.</v>
      </c>
      <c r="V39" s="20">
        <f>IF(V$2='[1]1 цех result'!$C50,'[1]1 цех_CapEx'!L50,0)</f>
        <v>0</v>
      </c>
      <c r="W39" s="20">
        <f>IF(V$2&gt;='[1]1 цех result'!$D50,'[1]1 цех_CapEx'!L50,0)</f>
        <v>0</v>
      </c>
      <c r="X39" s="20" t="str">
        <f>IF(V$2&gt;='[1]1 цех result'!$C50,$AK39,"")</f>
        <v>Т-1-Т, Т-2-Т35/6 кВ 4000 кВА - 2шт. Организация ОРУ 35 по схеме 35-5Н. ВВ-35 кВ - 1000 А - 1 шт.</v>
      </c>
      <c r="Y39" s="20">
        <f>IF(Y$2='[1]1 цех result'!$C50,'[1]1 цех_CapEx'!M50,0)</f>
        <v>0</v>
      </c>
      <c r="Z39" s="20">
        <f>IF(Y$2&gt;='[1]1 цех result'!$D50,'[1]1 цех_CapEx'!M50,0)</f>
        <v>0</v>
      </c>
      <c r="AA39" s="20" t="str">
        <f>IF(Y$2&gt;='[1]1 цех result'!$C50,$AK39,"")</f>
        <v>Т-1-Т, Т-2-Т35/6 кВ 4000 кВА - 2шт. Организация ОРУ 35 по схеме 35-5Н. ВВ-35 кВ - 1000 А - 1 шт.</v>
      </c>
      <c r="AB39" s="20">
        <f>IF(AB$2='[1]1 цех result'!$C50,'[1]1 цех_CapEx'!N50,0)</f>
        <v>0</v>
      </c>
      <c r="AC39" s="20">
        <f>IF(AB$2&gt;='[1]1 цех result'!$D50,'[1]1 цех_CapEx'!N50,0)</f>
        <v>0</v>
      </c>
      <c r="AD39" s="20" t="str">
        <f>IF(AB$2&gt;='[1]1 цех result'!$C50,$AK39,"")</f>
        <v>Т-1-Т, Т-2-Т35/6 кВ 4000 кВА - 2шт. Организация ОРУ 35 по схеме 35-5Н. ВВ-35 кВ - 1000 А - 1 шт.</v>
      </c>
      <c r="AE39" s="20">
        <f>IF(AE$2='[1]1 цех result'!$C50,'[1]1 цех_CapEx'!O50,0)</f>
        <v>0</v>
      </c>
      <c r="AF39" s="20">
        <f>IF(AE$2&gt;='[1]1 цех result'!$D50,'[1]1 цех_CapEx'!O50,0)</f>
        <v>0</v>
      </c>
      <c r="AG39" s="20" t="str">
        <f>IF(AE$2&gt;='[1]1 цех result'!$C50,$AK39,"")</f>
        <v>Т-1-Т, Т-2-Т35/6 кВ 4000 кВА - 2шт. Организация ОРУ 35 по схеме 35-5Н. ВВ-35 кВ - 1000 А - 1 шт.</v>
      </c>
      <c r="AH39" s="20">
        <f>IF(AH$2='[1]1 цех result'!$C50,'[1]1 цех_CapEx'!P50,0)</f>
        <v>0</v>
      </c>
      <c r="AI39" s="20">
        <f>IF(AH$2&gt;='[1]1 цех result'!$D50,'[1]1 цех_CapEx'!P50,0)</f>
        <v>0</v>
      </c>
      <c r="AJ39" s="20" t="str">
        <f>IF(AH$2&gt;='[1]1 цех result'!$C50,$AK39,"")</f>
        <v>Т-1-Т, Т-2-Т35/6 кВ 4000 кВА - 2шт. Организация ОРУ 35 по схеме 35-5Н. ВВ-35 кВ - 1000 А - 1 шт.</v>
      </c>
      <c r="AK39" s="12" t="s">
        <v>69</v>
      </c>
      <c r="AL39" s="19"/>
      <c r="AM39" s="71">
        <f>SUM(D39:AJ39)</f>
        <v>54985.183007503343</v>
      </c>
      <c r="AN39" s="71">
        <f>'[1]1 цех_CapEx'!$V50</f>
        <v>54985.183007503343</v>
      </c>
      <c r="AO39" s="71">
        <f t="shared" si="1"/>
        <v>0</v>
      </c>
      <c r="AP39" s="55" t="s">
        <v>196</v>
      </c>
      <c r="AQ39" s="79" t="s">
        <v>178</v>
      </c>
    </row>
    <row r="40" spans="1:43" s="38" customFormat="1" hidden="1">
      <c r="A40" s="78">
        <f>A38+1</f>
        <v>31</v>
      </c>
      <c r="B40" s="27" t="s">
        <v>18</v>
      </c>
      <c r="C40" s="28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30"/>
      <c r="AL40" s="27"/>
      <c r="AM40" s="27"/>
      <c r="AN40" s="27"/>
      <c r="AO40" s="27"/>
      <c r="AP40" s="61"/>
      <c r="AQ40" s="77"/>
    </row>
    <row r="41" spans="1:43" ht="45">
      <c r="A41" s="78">
        <v>32</v>
      </c>
      <c r="B41" s="19" t="str">
        <f>'[1]1 цех_CapEx'!$B52</f>
        <v>ПС 35/6кВ 2х6300 кВА "Западная"</v>
      </c>
      <c r="C41" s="32">
        <f>'[1]1 цех_CapEx'!$W52</f>
        <v>1</v>
      </c>
      <c r="D41" s="20">
        <f>IF(D$2='[1]1 цех result'!$C52,'[1]1 цех_CapEx'!F52,0)</f>
        <v>0</v>
      </c>
      <c r="E41" s="20">
        <f>IF(D$2&gt;='[1]1 цех result'!$D52,'[1]1 цех_CapEx'!F52,0)</f>
        <v>0</v>
      </c>
      <c r="F41" s="20" t="str">
        <f>IF(D$2&gt;='[1]1 цех result'!$C52,$AK41,"")</f>
        <v/>
      </c>
      <c r="G41" s="20">
        <f>IF(G$2='[1]1 цех result'!$C52,'[1]1 цех_CapEx'!G52,0)</f>
        <v>842.77587494568093</v>
      </c>
      <c r="H41" s="20">
        <f>IF(G$2&gt;='[1]1 цех result'!$D52,'[1]1 цех_CapEx'!G52,0)</f>
        <v>0</v>
      </c>
      <c r="I41" s="20" t="str">
        <f>IF(G$2&gt;='[1]1 цех result'!$C52,$AK41,"")</f>
        <v>Замена:
Т-1-Т, Т-2-Т 6300 кВА - 2 шт.</v>
      </c>
      <c r="J41" s="20">
        <f>IF(J$2='[1]1 цех result'!$C52,'[1]1 цех_CapEx'!H52,0)</f>
        <v>0</v>
      </c>
      <c r="K41" s="20">
        <f>IF(J$2&gt;='[1]1 цех result'!$D52,'[1]1 цех_CapEx'!H52,0)</f>
        <v>0</v>
      </c>
      <c r="L41" s="20" t="str">
        <f>IF(J$2&gt;='[1]1 цех result'!$C52,$AK41,"")</f>
        <v>Замена:
Т-1-Т, Т-2-Т 6300 кВА - 2 шт.</v>
      </c>
      <c r="M41" s="20">
        <f>IF(M$2='[1]1 цех result'!$C52,'[1]1 цех_CapEx'!I52,0)</f>
        <v>0</v>
      </c>
      <c r="N41" s="20">
        <f>IF(M$2&gt;='[1]1 цех result'!$D52,'[1]1 цех_CapEx'!I52,0)</f>
        <v>0</v>
      </c>
      <c r="O41" s="20" t="str">
        <f>IF(M$2&gt;='[1]1 цех result'!$C52,$AK41,"")</f>
        <v>Замена:
Т-1-Т, Т-2-Т 6300 кВА - 2 шт.</v>
      </c>
      <c r="P41" s="20">
        <f>IF(P$2='[1]1 цех result'!$C52,'[1]1 цех_CapEx'!J52,0)</f>
        <v>0</v>
      </c>
      <c r="Q41" s="20">
        <f>IF(P$2&gt;='[1]1 цех result'!$D52,'[1]1 цех_CapEx'!J52,0)</f>
        <v>0</v>
      </c>
      <c r="R41" s="20" t="str">
        <f>IF(P$2&gt;='[1]1 цех result'!$C52,$AK41,"")</f>
        <v>Замена:
Т-1-Т, Т-2-Т 6300 кВА - 2 шт.</v>
      </c>
      <c r="S41" s="20">
        <f>IF(S$2='[1]1 цех result'!$C52,'[1]1 цех_CapEx'!K52,0)</f>
        <v>0</v>
      </c>
      <c r="T41" s="20">
        <f>IF(S$2&gt;='[1]1 цех result'!$D52,'[1]1 цех_CapEx'!K52,0)</f>
        <v>0</v>
      </c>
      <c r="U41" s="20" t="str">
        <f>IF(S$2&gt;='[1]1 цех result'!$C52,$AK41,"")</f>
        <v>Замена:
Т-1-Т, Т-2-Т 6300 кВА - 2 шт.</v>
      </c>
      <c r="V41" s="20">
        <f>IF(V$2='[1]1 цех result'!$C52,'[1]1 цех_CapEx'!L52,0)</f>
        <v>0</v>
      </c>
      <c r="W41" s="20">
        <f>IF(V$2&gt;='[1]1 цех result'!$D52,'[1]1 цех_CapEx'!L52,0)</f>
        <v>35781.874370061865</v>
      </c>
      <c r="X41" s="20" t="str">
        <f>IF(V$2&gt;='[1]1 цех result'!$C52,$AK41,"")</f>
        <v>Замена:
Т-1-Т, Т-2-Т 6300 кВА - 2 шт.</v>
      </c>
      <c r="Y41" s="20">
        <f>IF(Y$2='[1]1 цех result'!$C52,'[1]1 цех_CapEx'!M52,0)</f>
        <v>0</v>
      </c>
      <c r="Z41" s="20">
        <f>IF(Y$2&gt;='[1]1 цех result'!$D52,'[1]1 цех_CapEx'!M52,0)</f>
        <v>0</v>
      </c>
      <c r="AA41" s="20" t="str">
        <f>IF(Y$2&gt;='[1]1 цех result'!$C52,$AK41,"")</f>
        <v>Замена:
Т-1-Т, Т-2-Т 6300 кВА - 2 шт.</v>
      </c>
      <c r="AB41" s="20">
        <f>IF(AB$2='[1]1 цех result'!$C52,'[1]1 цех_CapEx'!N52,0)</f>
        <v>0</v>
      </c>
      <c r="AC41" s="20">
        <f>IF(AB$2&gt;='[1]1 цех result'!$D52,'[1]1 цех_CapEx'!N52,0)</f>
        <v>0</v>
      </c>
      <c r="AD41" s="20" t="str">
        <f>IF(AB$2&gt;='[1]1 цех result'!$C52,$AK41,"")</f>
        <v>Замена:
Т-1-Т, Т-2-Т 6300 кВА - 2 шт.</v>
      </c>
      <c r="AE41" s="20">
        <f>IF(AE$2='[1]1 цех result'!$C52,'[1]1 цех_CapEx'!O52,0)</f>
        <v>0</v>
      </c>
      <c r="AF41" s="20">
        <f>IF(AE$2&gt;='[1]1 цех result'!$D52,'[1]1 цех_CapEx'!O52,0)</f>
        <v>0</v>
      </c>
      <c r="AG41" s="20" t="str">
        <f>IF(AE$2&gt;='[1]1 цех result'!$C52,$AK41,"")</f>
        <v>Замена:
Т-1-Т, Т-2-Т 6300 кВА - 2 шт.</v>
      </c>
      <c r="AH41" s="20">
        <f>IF(AH$2='[1]1 цех result'!$C52,'[1]1 цех_CapEx'!P52,0)</f>
        <v>0</v>
      </c>
      <c r="AI41" s="20">
        <f>IF(AH$2&gt;='[1]1 цех result'!$D52,'[1]1 цех_CapEx'!P52,0)</f>
        <v>0</v>
      </c>
      <c r="AJ41" s="20" t="str">
        <f>IF(AH$2&gt;='[1]1 цех result'!$C52,$AK41,"")</f>
        <v>Замена:
Т-1-Т, Т-2-Т 6300 кВА - 2 шт.</v>
      </c>
      <c r="AK41" s="12" t="s">
        <v>70</v>
      </c>
      <c r="AL41" s="19"/>
      <c r="AM41" s="71">
        <f t="shared" ref="AM41:AM47" si="2">SUM(D41:AJ41)</f>
        <v>36624.65024500755</v>
      </c>
      <c r="AN41" s="71">
        <f>'[1]1 цех_CapEx'!$V52</f>
        <v>36624.65024500755</v>
      </c>
      <c r="AO41" s="71">
        <f t="shared" si="1"/>
        <v>0</v>
      </c>
      <c r="AP41" s="62" t="s">
        <v>197</v>
      </c>
      <c r="AQ41" s="79" t="s">
        <v>178</v>
      </c>
    </row>
    <row r="42" spans="1:43">
      <c r="A42" s="78">
        <v>33</v>
      </c>
      <c r="B42" s="19" t="str">
        <f>'[1]1 цех_CapEx'!$B53</f>
        <v>ПС 35/6кВ Берендеи</v>
      </c>
      <c r="C42" s="32">
        <f>'[1]1 цех_CapEx'!$W53</f>
        <v>1</v>
      </c>
      <c r="D42" s="20">
        <f>IF(D$2='[1]1 цех result'!$C53,'[1]1 цех_CapEx'!F53,0)</f>
        <v>0</v>
      </c>
      <c r="E42" s="20">
        <f>IF(D$2&gt;='[1]1 цех result'!$D53,'[1]1 цех_CapEx'!F53,0)</f>
        <v>0</v>
      </c>
      <c r="F42" s="20" t="str">
        <f>IF(D$2&gt;='[1]1 цех result'!$C53,$AK42,"")</f>
        <v/>
      </c>
      <c r="G42" s="20">
        <f>IF(G$2='[1]1 цех result'!$C53,'[1]1 цех_CapEx'!G53,0)</f>
        <v>0</v>
      </c>
      <c r="H42" s="20">
        <f>IF(G$2&gt;='[1]1 цех result'!$D53,'[1]1 цех_CapEx'!G53,0)</f>
        <v>0</v>
      </c>
      <c r="I42" s="20" t="str">
        <f>IF(G$2&gt;='[1]1 цех result'!$C53,$AK42,"")</f>
        <v/>
      </c>
      <c r="J42" s="20">
        <f>IF(J$2='[1]1 цех result'!$C53,'[1]1 цех_CapEx'!H53,0)</f>
        <v>0</v>
      </c>
      <c r="K42" s="20">
        <f>IF(J$2&gt;='[1]1 цех result'!$D53,'[1]1 цех_CapEx'!H53,0)</f>
        <v>0</v>
      </c>
      <c r="L42" s="20" t="str">
        <f>IF(J$2&gt;='[1]1 цех result'!$C53,$AK42,"")</f>
        <v/>
      </c>
      <c r="M42" s="20">
        <f>IF(M$2='[1]1 цех result'!$C53,'[1]1 цех_CapEx'!I53,0)</f>
        <v>0</v>
      </c>
      <c r="N42" s="20">
        <f>IF(M$2&gt;='[1]1 цех result'!$D53,'[1]1 цех_CapEx'!I53,0)</f>
        <v>0</v>
      </c>
      <c r="O42" s="20" t="str">
        <f>IF(M$2&gt;='[1]1 цех result'!$C53,$AK42,"")</f>
        <v/>
      </c>
      <c r="P42" s="20">
        <f>IF(P$2='[1]1 цех result'!$C53,'[1]1 цех_CapEx'!J53,0)</f>
        <v>0</v>
      </c>
      <c r="Q42" s="20">
        <f>IF(P$2&gt;='[1]1 цех result'!$D53,'[1]1 цех_CapEx'!J53,0)</f>
        <v>0</v>
      </c>
      <c r="R42" s="20" t="str">
        <f>IF(P$2&gt;='[1]1 цех result'!$C53,$AK42,"")</f>
        <v/>
      </c>
      <c r="S42" s="20">
        <f>IF(S$2='[1]1 цех result'!$C53,'[1]1 цех_CapEx'!K53,0)</f>
        <v>182.45100977425201</v>
      </c>
      <c r="T42" s="20">
        <f>IF(S$2&gt;='[1]1 цех result'!$D53,'[1]1 цех_CapEx'!K53,0)</f>
        <v>0</v>
      </c>
      <c r="U42" s="20" t="str">
        <f>IF(S$2&gt;='[1]1 цех result'!$C53,$AK42,"")</f>
        <v>Монтаж АВР 6кВ</v>
      </c>
      <c r="V42" s="20">
        <f>IF(V$2='[1]1 цех result'!$C53,'[1]1 цех_CapEx'!L53,0)</f>
        <v>0</v>
      </c>
      <c r="W42" s="20">
        <f>IF(V$2&gt;='[1]1 цех result'!$D53,'[1]1 цех_CapEx'!L53,0)</f>
        <v>6194.2117818358556</v>
      </c>
      <c r="X42" s="20" t="str">
        <f>IF(V$2&gt;='[1]1 цех result'!$C53,$AK42,"")</f>
        <v>Монтаж АВР 6кВ</v>
      </c>
      <c r="Y42" s="20">
        <f>IF(Y$2='[1]1 цех result'!$C53,'[1]1 цех_CapEx'!M53,0)</f>
        <v>0</v>
      </c>
      <c r="Z42" s="20">
        <f>IF(Y$2&gt;='[1]1 цех result'!$D53,'[1]1 цех_CapEx'!M53,0)</f>
        <v>0</v>
      </c>
      <c r="AA42" s="20" t="str">
        <f>IF(Y$2&gt;='[1]1 цех result'!$C53,$AK42,"")</f>
        <v>Монтаж АВР 6кВ</v>
      </c>
      <c r="AB42" s="20">
        <f>IF(AB$2='[1]1 цех result'!$C53,'[1]1 цех_CapEx'!N53,0)</f>
        <v>0</v>
      </c>
      <c r="AC42" s="20">
        <f>IF(AB$2&gt;='[1]1 цех result'!$D53,'[1]1 цех_CapEx'!N53,0)</f>
        <v>0</v>
      </c>
      <c r="AD42" s="20" t="str">
        <f>IF(AB$2&gt;='[1]1 цех result'!$C53,$AK42,"")</f>
        <v>Монтаж АВР 6кВ</v>
      </c>
      <c r="AE42" s="20">
        <f>IF(AE$2='[1]1 цех result'!$C53,'[1]1 цех_CapEx'!O53,0)</f>
        <v>0</v>
      </c>
      <c r="AF42" s="20">
        <f>IF(AE$2&gt;='[1]1 цех result'!$D53,'[1]1 цех_CapEx'!O53,0)</f>
        <v>0</v>
      </c>
      <c r="AG42" s="20" t="str">
        <f>IF(AE$2&gt;='[1]1 цех result'!$C53,$AK42,"")</f>
        <v>Монтаж АВР 6кВ</v>
      </c>
      <c r="AH42" s="20">
        <f>IF(AH$2='[1]1 цех result'!$C53,'[1]1 цех_CapEx'!P53,0)</f>
        <v>0</v>
      </c>
      <c r="AI42" s="20">
        <f>IF(AH$2&gt;='[1]1 цех result'!$D53,'[1]1 цех_CapEx'!P53,0)</f>
        <v>0</v>
      </c>
      <c r="AJ42" s="20" t="str">
        <f>IF(AH$2&gt;='[1]1 цех result'!$C53,$AK42,"")</f>
        <v>Монтаж АВР 6кВ</v>
      </c>
      <c r="AK42" s="12" t="s">
        <v>71</v>
      </c>
      <c r="AL42" s="19"/>
      <c r="AM42" s="71">
        <f t="shared" si="2"/>
        <v>6376.6627916101079</v>
      </c>
      <c r="AN42" s="71">
        <f>'[1]1 цех_CapEx'!$V53</f>
        <v>6376.6627916101079</v>
      </c>
      <c r="AO42" s="71">
        <f t="shared" si="1"/>
        <v>0</v>
      </c>
      <c r="AP42" s="62" t="s">
        <v>198</v>
      </c>
      <c r="AQ42" s="79" t="s">
        <v>178</v>
      </c>
    </row>
    <row r="43" spans="1:43" ht="135">
      <c r="A43" s="78">
        <v>34</v>
      </c>
      <c r="B43" s="19" t="str">
        <f>'[1]1 цех_CapEx'!$B54</f>
        <v xml:space="preserve">ПС 110/35/6 кВ УКПН-2 </v>
      </c>
      <c r="C43" s="32">
        <f>'[1]1 цех_CapEx'!$W54</f>
        <v>1</v>
      </c>
      <c r="D43" s="20">
        <f>IF(D$2='[1]1 цех result'!$C54,'[1]1 цех_CapEx'!F54,0)</f>
        <v>0</v>
      </c>
      <c r="E43" s="20">
        <f>IF(D$2&gt;='[1]1 цех result'!$D54,'[1]1 цех_CapEx'!F54,0)</f>
        <v>0</v>
      </c>
      <c r="F43" s="20" t="str">
        <f>IF(D$2&gt;='[1]1 цех result'!$C54,$AK43,"")</f>
        <v/>
      </c>
      <c r="G43" s="20">
        <f>IF(G$2='[1]1 цех result'!$C54,'[1]1 цех_CapEx'!G54,0)</f>
        <v>0</v>
      </c>
      <c r="H43" s="20">
        <f>IF(G$2&gt;='[1]1 цех result'!$D54,'[1]1 цех_CapEx'!G54,0)</f>
        <v>0</v>
      </c>
      <c r="I43" s="20" t="str">
        <f>IF(G$2&gt;='[1]1 цех result'!$C54,$AK43,"")</f>
        <v/>
      </c>
      <c r="J43" s="20">
        <f>IF(J$2='[1]1 цех result'!$C54,'[1]1 цех_CapEx'!H54,0)</f>
        <v>0</v>
      </c>
      <c r="K43" s="20">
        <f>IF(J$2&gt;='[1]1 цех result'!$D54,'[1]1 цех_CapEx'!H54,0)</f>
        <v>0</v>
      </c>
      <c r="L43" s="20" t="str">
        <f>IF(J$2&gt;='[1]1 цех result'!$C54,$AK43,"")</f>
        <v/>
      </c>
      <c r="M43" s="20">
        <f>IF(M$2='[1]1 цех result'!$C54,'[1]1 цех_CapEx'!I54,0)</f>
        <v>0</v>
      </c>
      <c r="N43" s="20">
        <f>IF(M$2&gt;='[1]1 цех result'!$D54,'[1]1 цех_CapEx'!I54,0)</f>
        <v>0</v>
      </c>
      <c r="O43" s="20" t="str">
        <f>IF(M$2&gt;='[1]1 цех result'!$C54,$AK43,"")</f>
        <v/>
      </c>
      <c r="P43" s="20">
        <f>IF(P$2='[1]1 цех result'!$C54,'[1]1 цех_CapEx'!J54,0)</f>
        <v>0</v>
      </c>
      <c r="Q43" s="20">
        <f>IF(P$2&gt;='[1]1 цех result'!$D54,'[1]1 цех_CapEx'!J54,0)</f>
        <v>0</v>
      </c>
      <c r="R43" s="20" t="str">
        <f>IF(P$2&gt;='[1]1 цех result'!$C54,$AK43,"")</f>
        <v/>
      </c>
      <c r="S43" s="20">
        <f>IF(S$2='[1]1 цех result'!$C54,'[1]1 цех_CapEx'!K54,0)</f>
        <v>0</v>
      </c>
      <c r="T43" s="20">
        <f>IF(S$2&gt;='[1]1 цех result'!$D54,'[1]1 цех_CapEx'!K54,0)</f>
        <v>0</v>
      </c>
      <c r="U43" s="20" t="str">
        <f>IF(S$2&gt;='[1]1 цех result'!$C54,$AK43,"")</f>
        <v/>
      </c>
      <c r="V43" s="20">
        <f>IF(V$2='[1]1 цех result'!$C54,'[1]1 цех_CapEx'!L54,0)</f>
        <v>0</v>
      </c>
      <c r="W43" s="20">
        <f>IF(V$2&gt;='[1]1 цех result'!$D54,'[1]1 цех_CapEx'!L54,0)</f>
        <v>0</v>
      </c>
      <c r="X43" s="20" t="str">
        <f>IF(V$2&gt;='[1]1 цех result'!$C54,$AK43,"")</f>
        <v/>
      </c>
      <c r="Y43" s="20">
        <f>IF(Y$2='[1]1 цех result'!$C54,'[1]1 цех_CapEx'!M54,0)</f>
        <v>0</v>
      </c>
      <c r="Z43" s="20">
        <f>IF(Y$2&gt;='[1]1 цех result'!$D54,'[1]1 цех_CapEx'!M54,0)</f>
        <v>0</v>
      </c>
      <c r="AA43" s="20" t="str">
        <f>IF(Y$2&gt;='[1]1 цех result'!$C54,$AK43,"")</f>
        <v/>
      </c>
      <c r="AB43" s="20">
        <f>IF(AB$2='[1]1 цех result'!$C54,'[1]1 цех_CapEx'!N54,0)</f>
        <v>0</v>
      </c>
      <c r="AC43" s="20">
        <f>IF(AB$2&gt;='[1]1 цех result'!$D54,'[1]1 цех_CapEx'!N54,0)</f>
        <v>0</v>
      </c>
      <c r="AD43" s="20" t="str">
        <f>IF(AB$2&gt;='[1]1 цех result'!$C54,$AK43,"")</f>
        <v/>
      </c>
      <c r="AE43" s="20">
        <f>IF(AE$2='[1]1 цех result'!$C54,'[1]1 цех_CapEx'!O54,0)</f>
        <v>133.57295404861119</v>
      </c>
      <c r="AF43" s="20">
        <f>IF(AE$2&gt;='[1]1 цех result'!$D54,'[1]1 цех_CapEx'!O54,0)</f>
        <v>0</v>
      </c>
      <c r="AG43" s="20" t="str">
        <f>IF(AE$2&gt;='[1]1 цех result'!$C54,$AK43,"")</f>
        <v>Дистанционное управление выключателями 110 кВ. Оборудование разъединителя ремонтной перемычки моторным приводом с дистанционным управлением.</v>
      </c>
      <c r="AH43" s="20">
        <f>IF(AH$2='[1]1 цех result'!$C54,'[1]1 цех_CapEx'!P54,0)</f>
        <v>0</v>
      </c>
      <c r="AI43" s="20">
        <f>IF(AH$2&gt;='[1]1 цех result'!$D54,'[1]1 цех_CapEx'!P54,0)</f>
        <v>4482.975483779489</v>
      </c>
      <c r="AJ43" s="20" t="str">
        <f>IF(AH$2&gt;='[1]1 цех result'!$C54,$AK43,"")</f>
        <v>Дистанционное управление выключателями 110 кВ. Оборудование разъединителя ремонтной перемычки моторным приводом с дистанционным управлением.</v>
      </c>
      <c r="AK43" s="12" t="s">
        <v>72</v>
      </c>
      <c r="AL43" s="19"/>
      <c r="AM43" s="71">
        <f t="shared" si="2"/>
        <v>4616.5484378280998</v>
      </c>
      <c r="AN43" s="71">
        <f>'[1]1 цех_CapEx'!$V54</f>
        <v>4616.5484378280998</v>
      </c>
      <c r="AO43" s="71">
        <f t="shared" si="1"/>
        <v>0</v>
      </c>
      <c r="AP43" s="62" t="s">
        <v>198</v>
      </c>
      <c r="AQ43" s="79" t="s">
        <v>178</v>
      </c>
    </row>
    <row r="44" spans="1:43" ht="30">
      <c r="A44" s="78">
        <v>35</v>
      </c>
      <c r="B44" s="19" t="str">
        <f>'[1]1 цех_CapEx'!$B55</f>
        <v>ПС 35/6 кВ Бирюковская</v>
      </c>
      <c r="C44" s="32">
        <f>'[1]1 цех_CapEx'!$W55</f>
        <v>1</v>
      </c>
      <c r="D44" s="20">
        <f>IF(D$2='[1]1 цех result'!$C55,'[1]1 цех_CapEx'!F55,0)</f>
        <v>0</v>
      </c>
      <c r="E44" s="20">
        <f>IF(D$2&gt;='[1]1 цех result'!$D55,'[1]1 цех_CapEx'!F55,0)</f>
        <v>0</v>
      </c>
      <c r="F44" s="20" t="str">
        <f>IF(D$2&gt;='[1]1 цех result'!$C55,$AK44,"")</f>
        <v/>
      </c>
      <c r="G44" s="20">
        <f>IF(G$2='[1]1 цех result'!$C55,'[1]1 цех_CapEx'!G55,0)</f>
        <v>0</v>
      </c>
      <c r="H44" s="20">
        <f>IF(G$2&gt;='[1]1 цех result'!$D55,'[1]1 цех_CapEx'!G55,0)</f>
        <v>0</v>
      </c>
      <c r="I44" s="20" t="str">
        <f>IF(G$2&gt;='[1]1 цех result'!$C55,$AK44,"")</f>
        <v/>
      </c>
      <c r="J44" s="20">
        <f>IF(J$2='[1]1 цех result'!$C55,'[1]1 цех_CapEx'!H55,0)</f>
        <v>0</v>
      </c>
      <c r="K44" s="20">
        <f>IF(J$2&gt;='[1]1 цех result'!$D55,'[1]1 цех_CapEx'!H55,0)</f>
        <v>0</v>
      </c>
      <c r="L44" s="20" t="str">
        <f>IF(J$2&gt;='[1]1 цех result'!$C55,$AK44,"")</f>
        <v/>
      </c>
      <c r="M44" s="20">
        <f>IF(M$2='[1]1 цех result'!$C55,'[1]1 цех_CapEx'!I55,0)</f>
        <v>0</v>
      </c>
      <c r="N44" s="20">
        <f>IF(M$2&gt;='[1]1 цех result'!$D55,'[1]1 цех_CapEx'!I55,0)</f>
        <v>0</v>
      </c>
      <c r="O44" s="20" t="str">
        <f>IF(M$2&gt;='[1]1 цех result'!$C55,$AK44,"")</f>
        <v/>
      </c>
      <c r="P44" s="20">
        <f>IF(P$2='[1]1 цех result'!$C55,'[1]1 цех_CapEx'!J55,0)</f>
        <v>0</v>
      </c>
      <c r="Q44" s="20">
        <f>IF(P$2&gt;='[1]1 цех result'!$D55,'[1]1 цех_CapEx'!J55,0)</f>
        <v>0</v>
      </c>
      <c r="R44" s="20" t="str">
        <f>IF(P$2&gt;='[1]1 цех result'!$C55,$AK44,"")</f>
        <v/>
      </c>
      <c r="S44" s="20">
        <f>IF(S$2='[1]1 цех result'!$C55,'[1]1 цех_CapEx'!K55,0)</f>
        <v>0</v>
      </c>
      <c r="T44" s="20">
        <f>IF(S$2&gt;='[1]1 цех result'!$D55,'[1]1 цех_CapEx'!K55,0)</f>
        <v>0</v>
      </c>
      <c r="U44" s="20" t="str">
        <f>IF(S$2&gt;='[1]1 цех result'!$C55,$AK44,"")</f>
        <v/>
      </c>
      <c r="V44" s="20">
        <f>IF(V$2='[1]1 цех result'!$C55,'[1]1 цех_CapEx'!L55,0)</f>
        <v>0</v>
      </c>
      <c r="W44" s="20">
        <f>IF(V$2&gt;='[1]1 цех result'!$D55,'[1]1 цех_CapEx'!L55,0)</f>
        <v>0</v>
      </c>
      <c r="X44" s="20" t="str">
        <f>IF(V$2&gt;='[1]1 цех result'!$C55,$AK44,"")</f>
        <v/>
      </c>
      <c r="Y44" s="20">
        <f>IF(Y$2='[1]1 цех result'!$C55,'[1]1 цех_CapEx'!M55,0)</f>
        <v>0</v>
      </c>
      <c r="Z44" s="20">
        <f>IF(Y$2&gt;='[1]1 цех result'!$D55,'[1]1 цех_CapEx'!M55,0)</f>
        <v>0</v>
      </c>
      <c r="AA44" s="20" t="str">
        <f>IF(Y$2&gt;='[1]1 цех result'!$C55,$AK44,"")</f>
        <v/>
      </c>
      <c r="AB44" s="20">
        <f>IF(AB$2='[1]1 цех result'!$C55,'[1]1 цех_CapEx'!N55,0)</f>
        <v>0</v>
      </c>
      <c r="AC44" s="20">
        <f>IF(AB$2&gt;='[1]1 цех result'!$D55,'[1]1 цех_CapEx'!N55,0)</f>
        <v>0</v>
      </c>
      <c r="AD44" s="20" t="str">
        <f>IF(AB$2&gt;='[1]1 цех result'!$C55,$AK44,"")</f>
        <v/>
      </c>
      <c r="AE44" s="20">
        <f>IF(AE$2='[1]1 цех result'!$C55,'[1]1 цех_CapEx'!O55,0)</f>
        <v>1243.0855222558455</v>
      </c>
      <c r="AF44" s="20">
        <f>IF(AE$2&gt;='[1]1 цех result'!$D55,'[1]1 цех_CapEx'!O55,0)</f>
        <v>0</v>
      </c>
      <c r="AG44" s="20" t="str">
        <f>IF(AE$2&gt;='[1]1 цех result'!$C55,$AK44,"")</f>
        <v>Замена Т-1-Т, МВ-35 кВ на ВВ-35 кВ</v>
      </c>
      <c r="AH44" s="20">
        <f>IF(AH$2='[1]1 цех result'!$C55,'[1]1 цех_CapEx'!P55,0)</f>
        <v>0</v>
      </c>
      <c r="AI44" s="20">
        <f>IF(AH$2&gt;='[1]1 цех result'!$D55,'[1]1 цех_CapEx'!P55,0)</f>
        <v>41720.436297950691</v>
      </c>
      <c r="AJ44" s="20" t="str">
        <f>IF(AH$2&gt;='[1]1 цех result'!$C55,$AK44,"")</f>
        <v>Замена Т-1-Т, МВ-35 кВ на ВВ-35 кВ</v>
      </c>
      <c r="AK44" s="12" t="s">
        <v>73</v>
      </c>
      <c r="AL44" s="19"/>
      <c r="AM44" s="71">
        <f t="shared" si="2"/>
        <v>42963.521820206537</v>
      </c>
      <c r="AN44" s="71">
        <f>'[1]1 цех_CapEx'!$V55</f>
        <v>42963.521820206537</v>
      </c>
      <c r="AO44" s="71">
        <f t="shared" si="1"/>
        <v>0</v>
      </c>
      <c r="AP44" s="62" t="s">
        <v>198</v>
      </c>
      <c r="AQ44" s="79" t="s">
        <v>178</v>
      </c>
    </row>
    <row r="45" spans="1:43" ht="105">
      <c r="A45" s="78">
        <v>36</v>
      </c>
      <c r="B45" s="19" t="str">
        <f>'[1]1 цех_CapEx'!$B56</f>
        <v>ПС 110/35/6 кВ Подгорная</v>
      </c>
      <c r="C45" s="32">
        <f>'[1]1 цех_CapEx'!$W56</f>
        <v>1</v>
      </c>
      <c r="D45" s="20">
        <f>IF(D$2='[1]1 цех result'!$C56,'[1]1 цех_CapEx'!F56,0)</f>
        <v>0</v>
      </c>
      <c r="E45" s="20">
        <f>IF(D$2&gt;='[1]1 цех result'!$D56,'[1]1 цех_CapEx'!F56,0)</f>
        <v>0</v>
      </c>
      <c r="F45" s="20" t="str">
        <f>IF(D$2&gt;='[1]1 цех result'!$C56,$AK45,"")</f>
        <v/>
      </c>
      <c r="G45" s="20">
        <f>IF(G$2='[1]1 цех result'!$C56,'[1]1 цех_CapEx'!G56,0)</f>
        <v>0</v>
      </c>
      <c r="H45" s="20">
        <f>IF(G$2&gt;='[1]1 цех result'!$D56,'[1]1 цех_CapEx'!G56,0)</f>
        <v>0</v>
      </c>
      <c r="I45" s="20" t="str">
        <f>IF(G$2&gt;='[1]1 цех result'!$C56,$AK45,"")</f>
        <v/>
      </c>
      <c r="J45" s="20">
        <f>IF(J$2='[1]1 цех result'!$C56,'[1]1 цех_CapEx'!H56,0)</f>
        <v>0</v>
      </c>
      <c r="K45" s="20">
        <f>IF(J$2&gt;='[1]1 цех result'!$D56,'[1]1 цех_CapEx'!H56,0)</f>
        <v>0</v>
      </c>
      <c r="L45" s="20" t="str">
        <f>IF(J$2&gt;='[1]1 цех result'!$C56,$AK45,"")</f>
        <v/>
      </c>
      <c r="M45" s="20">
        <f>IF(M$2='[1]1 цех result'!$C56,'[1]1 цех_CapEx'!I56,0)</f>
        <v>0</v>
      </c>
      <c r="N45" s="20">
        <f>IF(M$2&gt;='[1]1 цех result'!$D56,'[1]1 цех_CapEx'!I56,0)</f>
        <v>0</v>
      </c>
      <c r="O45" s="20" t="str">
        <f>IF(M$2&gt;='[1]1 цех result'!$C56,$AK45,"")</f>
        <v/>
      </c>
      <c r="P45" s="20">
        <f>IF(P$2='[1]1 цех result'!$C56,'[1]1 цех_CapEx'!J56,0)</f>
        <v>0</v>
      </c>
      <c r="Q45" s="20">
        <f>IF(P$2&gt;='[1]1 цех result'!$D56,'[1]1 цех_CapEx'!J56,0)</f>
        <v>0</v>
      </c>
      <c r="R45" s="20" t="str">
        <f>IF(P$2&gt;='[1]1 цех result'!$C56,$AK45,"")</f>
        <v/>
      </c>
      <c r="S45" s="20">
        <f>IF(S$2='[1]1 цех result'!$C56,'[1]1 цех_CapEx'!K56,0)</f>
        <v>0</v>
      </c>
      <c r="T45" s="20">
        <f>IF(S$2&gt;='[1]1 цех result'!$D56,'[1]1 цех_CapEx'!K56,0)</f>
        <v>0</v>
      </c>
      <c r="U45" s="20" t="str">
        <f>IF(S$2&gt;='[1]1 цех result'!$C56,$AK45,"")</f>
        <v/>
      </c>
      <c r="V45" s="20">
        <f>IF(V$2='[1]1 цех result'!$C56,'[1]1 цех_CapEx'!L56,0)</f>
        <v>0</v>
      </c>
      <c r="W45" s="20">
        <f>IF(V$2&gt;='[1]1 цех result'!$D56,'[1]1 цех_CapEx'!L56,0)</f>
        <v>0</v>
      </c>
      <c r="X45" s="20" t="str">
        <f>IF(V$2&gt;='[1]1 цех result'!$C56,$AK45,"")</f>
        <v/>
      </c>
      <c r="Y45" s="20">
        <f>IF(Y$2='[1]1 цех result'!$C56,'[1]1 цех_CapEx'!M56,0)</f>
        <v>0</v>
      </c>
      <c r="Z45" s="20">
        <f>IF(Y$2&gt;='[1]1 цех result'!$D56,'[1]1 цех_CapEx'!M56,0)</f>
        <v>0</v>
      </c>
      <c r="AA45" s="20" t="str">
        <f>IF(Y$2&gt;='[1]1 цех result'!$C56,$AK45,"")</f>
        <v/>
      </c>
      <c r="AB45" s="20">
        <f>IF(AB$2='[1]1 цех result'!$C56,'[1]1 цех_CapEx'!N56,0)</f>
        <v>0</v>
      </c>
      <c r="AC45" s="20">
        <f>IF(AB$2&gt;='[1]1 цех result'!$D56,'[1]1 цех_CapEx'!N56,0)</f>
        <v>0</v>
      </c>
      <c r="AD45" s="20" t="str">
        <f>IF(AB$2&gt;='[1]1 цех result'!$C56,$AK45,"")</f>
        <v/>
      </c>
      <c r="AE45" s="20">
        <f>IF(AE$2='[1]1 цех result'!$C56,'[1]1 цех_CapEx'!O56,0)</f>
        <v>7983.0394992264437</v>
      </c>
      <c r="AF45" s="20">
        <f>IF(AE$2&gt;='[1]1 цех result'!$D56,'[1]1 цех_CapEx'!O56,0)</f>
        <v>0</v>
      </c>
      <c r="AG45" s="20" t="str">
        <f>IF(AE$2&gt;='[1]1 цех result'!$C56,$AK45,"")</f>
        <v xml:space="preserve">Замена Т-1-Т, Т-2-Т 2х25000 кВА </v>
      </c>
      <c r="AH45" s="20">
        <f>IF(AH$2='[1]1 цех result'!$C56,'[1]1 цех_CapEx'!P56,0)</f>
        <v>0</v>
      </c>
      <c r="AI45" s="20">
        <f>IF(AH$2&gt;='[1]1 цех result'!$D56,'[1]1 цех_CapEx'!P56,0)</f>
        <v>267926.7716730379</v>
      </c>
      <c r="AJ45" s="20" t="str">
        <f>IF(AH$2&gt;='[1]1 цех result'!$C56,$AK45,"")</f>
        <v xml:space="preserve">Замена Т-1-Т, Т-2-Т 2х25000 кВА </v>
      </c>
      <c r="AK45" s="12" t="s">
        <v>46</v>
      </c>
      <c r="AL45" s="19"/>
      <c r="AM45" s="71">
        <f t="shared" si="2"/>
        <v>275909.81117226434</v>
      </c>
      <c r="AN45" s="71">
        <f>'[1]1 цех_CapEx'!$V56</f>
        <v>275909.81117226434</v>
      </c>
      <c r="AO45" s="71">
        <f t="shared" si="1"/>
        <v>0</v>
      </c>
      <c r="AP45" s="11" t="s">
        <v>182</v>
      </c>
      <c r="AQ45" s="79" t="s">
        <v>178</v>
      </c>
    </row>
    <row r="46" spans="1:43" s="37" customFormat="1" ht="90">
      <c r="A46" s="78">
        <v>37</v>
      </c>
      <c r="B46" s="34" t="str">
        <f>'[1]1 цех_CapEx'!$B58</f>
        <v xml:space="preserve">ПС 35/6кВ Хилки </v>
      </c>
      <c r="C46" s="35">
        <f>'[1]1 цех_CapEx'!$W58</f>
        <v>1</v>
      </c>
      <c r="D46" s="36">
        <f>IF(D$2='[1]1 цех result'!$C58,'[1]1 цех_CapEx'!F58,0)</f>
        <v>0</v>
      </c>
      <c r="E46" s="36">
        <f>IF(D$2&gt;='[1]1 цех result'!$D58,'[1]1 цех_CapEx'!F58,0)</f>
        <v>0</v>
      </c>
      <c r="F46" s="36" t="str">
        <f>IF(D$2&gt;='[1]1 цех result'!$C58,$AK46,"")</f>
        <v/>
      </c>
      <c r="G46" s="36">
        <f>IF(G$2='[1]1 цех result'!$C58,'[1]1 цех_CapEx'!G58,0)</f>
        <v>0</v>
      </c>
      <c r="H46" s="36">
        <f>IF(G$2&gt;='[1]1 цех result'!$D58,'[1]1 цех_CapEx'!G58,0)</f>
        <v>0</v>
      </c>
      <c r="I46" s="36" t="str">
        <f>IF(G$2&gt;='[1]1 цех result'!$C58,$AK46,"")</f>
        <v/>
      </c>
      <c r="J46" s="36">
        <f>IF(J$2='[1]1 цех result'!$C58,'[1]1 цех_CapEx'!H58,0)</f>
        <v>602.03904270240002</v>
      </c>
      <c r="K46" s="36">
        <f>IF(J$2&gt;='[1]1 цех result'!$D58,'[1]1 цех_CapEx'!H58,0)</f>
        <v>0</v>
      </c>
      <c r="L46" s="36" t="str">
        <f>IF(J$2&gt;='[1]1 цех result'!$C58,$AK46,"")</f>
        <v>Установка Т-2-Т 1х4000 кВА . 
Замена Т-1-Т 1х4000 кВА 
ВВ-35 кВ - 1000 А - 2 шт.</v>
      </c>
      <c r="M46" s="36">
        <f>IF(M$2='[1]1 цех result'!$C58,'[1]1 цех_CapEx'!I58,0)</f>
        <v>0</v>
      </c>
      <c r="N46" s="36">
        <f>IF(M$2&gt;='[1]1 цех result'!$D58,'[1]1 цех_CapEx'!I58,0)</f>
        <v>20497.623286888611</v>
      </c>
      <c r="O46" s="36" t="str">
        <f>IF(M$2&gt;='[1]1 цех result'!$C58,$AK46,"")</f>
        <v>Установка Т-2-Т 1х4000 кВА . 
Замена Т-1-Т 1х4000 кВА 
ВВ-35 кВ - 1000 А - 2 шт.</v>
      </c>
      <c r="P46" s="36">
        <f>IF(P$2='[1]1 цех result'!$C58,'[1]1 цех_CapEx'!J58,0)</f>
        <v>0</v>
      </c>
      <c r="Q46" s="36">
        <f>IF(P$2&gt;='[1]1 цех result'!$D58,'[1]1 цех_CapEx'!J58,0)</f>
        <v>0</v>
      </c>
      <c r="R46" s="36" t="str">
        <f>IF(P$2&gt;='[1]1 цех result'!$C58,$AK46,"")</f>
        <v>Установка Т-2-Т 1х4000 кВА . 
Замена Т-1-Т 1х4000 кВА 
ВВ-35 кВ - 1000 А - 2 шт.</v>
      </c>
      <c r="S46" s="36">
        <f>IF(S$2='[1]1 цех result'!$C58,'[1]1 цех_CapEx'!K58,0)</f>
        <v>0</v>
      </c>
      <c r="T46" s="36">
        <f>IF(S$2&gt;='[1]1 цех result'!$D58,'[1]1 цех_CapEx'!K58,0)</f>
        <v>0</v>
      </c>
      <c r="U46" s="36" t="str">
        <f>IF(S$2&gt;='[1]1 цех result'!$C58,$AK46,"")</f>
        <v>Установка Т-2-Т 1х4000 кВА . 
Замена Т-1-Т 1х4000 кВА 
ВВ-35 кВ - 1000 А - 2 шт.</v>
      </c>
      <c r="V46" s="36">
        <f>IF(V$2='[1]1 цех result'!$C58,'[1]1 цех_CapEx'!L58,0)</f>
        <v>0</v>
      </c>
      <c r="W46" s="36">
        <f>IF(V$2&gt;='[1]1 цех result'!$D58,'[1]1 цех_CapEx'!L58,0)</f>
        <v>0</v>
      </c>
      <c r="X46" s="36" t="str">
        <f>IF(V$2&gt;='[1]1 цех result'!$C58,$AK46,"")</f>
        <v>Установка Т-2-Т 1х4000 кВА . 
Замена Т-1-Т 1х4000 кВА 
ВВ-35 кВ - 1000 А - 2 шт.</v>
      </c>
      <c r="Y46" s="36">
        <f>IF(Y$2='[1]1 цех result'!$C58,'[1]1 цех_CapEx'!M58,0)</f>
        <v>0</v>
      </c>
      <c r="Z46" s="36">
        <f>IF(Y$2&gt;='[1]1 цех result'!$D58,'[1]1 цех_CapEx'!M58,0)</f>
        <v>0</v>
      </c>
      <c r="AA46" s="36" t="str">
        <f>IF(Y$2&gt;='[1]1 цех result'!$C58,$AK46,"")</f>
        <v>Установка Т-2-Т 1х4000 кВА . 
Замена Т-1-Т 1х4000 кВА 
ВВ-35 кВ - 1000 А - 2 шт.</v>
      </c>
      <c r="AB46" s="36">
        <f>IF(AB$2='[1]1 цех result'!$C58,'[1]1 цех_CapEx'!N58,0)</f>
        <v>0</v>
      </c>
      <c r="AC46" s="36">
        <f>IF(AB$2&gt;='[1]1 цех result'!$D58,'[1]1 цех_CapEx'!N58,0)</f>
        <v>0</v>
      </c>
      <c r="AD46" s="36" t="str">
        <f>IF(AB$2&gt;='[1]1 цех result'!$C58,$AK46,"")</f>
        <v>Установка Т-2-Т 1х4000 кВА . 
Замена Т-1-Т 1х4000 кВА 
ВВ-35 кВ - 1000 А - 2 шт.</v>
      </c>
      <c r="AE46" s="36">
        <f>IF(AE$2='[1]1 цех result'!$C58,'[1]1 цех_CapEx'!O58,0)</f>
        <v>0</v>
      </c>
      <c r="AF46" s="36">
        <f>IF(AE$2&gt;='[1]1 цех result'!$D58,'[1]1 цех_CapEx'!O58,0)</f>
        <v>0</v>
      </c>
      <c r="AG46" s="36" t="str">
        <f>IF(AE$2&gt;='[1]1 цех result'!$C58,$AK46,"")</f>
        <v>Установка Т-2-Т 1х4000 кВА . 
Замена Т-1-Т 1х4000 кВА 
ВВ-35 кВ - 1000 А - 2 шт.</v>
      </c>
      <c r="AH46" s="36">
        <f>IF(AH$2='[1]1 цех result'!$C58,'[1]1 цех_CapEx'!P58,0)</f>
        <v>0</v>
      </c>
      <c r="AI46" s="36">
        <f>IF(AH$2&gt;='[1]1 цех result'!$D58,'[1]1 цех_CapEx'!P58,0)</f>
        <v>0</v>
      </c>
      <c r="AJ46" s="36" t="str">
        <f>IF(AH$2&gt;='[1]1 цех result'!$C58,$AK46,"")</f>
        <v>Установка Т-2-Т 1х4000 кВА . 
Замена Т-1-Т 1х4000 кВА 
ВВ-35 кВ - 1000 А - 2 шт.</v>
      </c>
      <c r="AK46" s="12" t="s">
        <v>60</v>
      </c>
      <c r="AL46" s="34"/>
      <c r="AM46" s="72">
        <f t="shared" si="2"/>
        <v>21099.66232959101</v>
      </c>
      <c r="AN46" s="72">
        <f>'[1]1 цех_CapEx'!$V58</f>
        <v>21099.66232959101</v>
      </c>
      <c r="AO46" s="72">
        <f t="shared" si="1"/>
        <v>0</v>
      </c>
      <c r="AP46" s="62" t="s">
        <v>189</v>
      </c>
      <c r="AQ46" s="79" t="s">
        <v>178</v>
      </c>
    </row>
    <row r="47" spans="1:43" ht="225">
      <c r="A47" s="78">
        <v>38</v>
      </c>
      <c r="B47" s="19" t="str">
        <f>'[1]1 цех_CapEx'!$B59</f>
        <v xml:space="preserve">ПС 35/6 кВ 2х3200 кВА "В-Кохановская" </v>
      </c>
      <c r="C47" s="32">
        <f>'[1]1 цех_CapEx'!$W59</f>
        <v>1</v>
      </c>
      <c r="D47" s="20">
        <f>IF(D$2='[1]1 цех result'!$C59,'[1]1 цех_CapEx'!F59,0)</f>
        <v>0</v>
      </c>
      <c r="E47" s="20">
        <f>IF(D$2&gt;='[1]1 цех result'!$D59,'[1]1 цех_CapEx'!F59,0)</f>
        <v>0</v>
      </c>
      <c r="F47" s="20" t="str">
        <f>IF(D$2&gt;='[1]1 цех result'!$C59,$AK47,"")</f>
        <v/>
      </c>
      <c r="G47" s="20">
        <f>IF(G$2='[1]1 цех result'!$C59,'[1]1 цех_CapEx'!G59,0)</f>
        <v>0</v>
      </c>
      <c r="H47" s="20">
        <f>IF(G$2&gt;='[1]1 цех result'!$D59,'[1]1 цех_CapEx'!G59,0)</f>
        <v>0</v>
      </c>
      <c r="I47" s="20" t="str">
        <f>IF(G$2&gt;='[1]1 цех result'!$C59,$AK47,"")</f>
        <v/>
      </c>
      <c r="J47" s="20">
        <f>IF(J$2='[1]1 цех result'!$C59,'[1]1 цех_CapEx'!H59,0)</f>
        <v>0</v>
      </c>
      <c r="K47" s="20">
        <f>IF(J$2&gt;='[1]1 цех result'!$D59,'[1]1 цех_CapEx'!H59,0)</f>
        <v>0</v>
      </c>
      <c r="L47" s="20" t="str">
        <f>IF(J$2&gt;='[1]1 цех result'!$C59,$AK47,"")</f>
        <v/>
      </c>
      <c r="M47" s="20">
        <f>IF(M$2='[1]1 цех result'!$C59,'[1]1 цех_CapEx'!I59,0)</f>
        <v>0</v>
      </c>
      <c r="N47" s="20">
        <f>IF(M$2&gt;='[1]1 цех result'!$D59,'[1]1 цех_CapEx'!I59,0)</f>
        <v>0</v>
      </c>
      <c r="O47" s="20" t="str">
        <f>IF(M$2&gt;='[1]1 цех result'!$C59,$AK47,"")</f>
        <v/>
      </c>
      <c r="P47" s="20">
        <f>IF(P$2='[1]1 цех result'!$C59,'[1]1 цех_CapEx'!J59,0)</f>
        <v>0</v>
      </c>
      <c r="Q47" s="20">
        <f>IF(P$2&gt;='[1]1 цех result'!$D59,'[1]1 цех_CapEx'!J59,0)</f>
        <v>0</v>
      </c>
      <c r="R47" s="20" t="str">
        <f>IF(P$2&gt;='[1]1 цех result'!$C59,$AK47,"")</f>
        <v/>
      </c>
      <c r="S47" s="20">
        <f>IF(S$2='[1]1 цех result'!$C59,'[1]1 цех_CapEx'!K59,0)</f>
        <v>2114.9695858641944</v>
      </c>
      <c r="T47" s="20">
        <f>IF(S$2&gt;='[1]1 цех result'!$D59,'[1]1 цех_CapEx'!K59,0)</f>
        <v>0</v>
      </c>
      <c r="U47" s="20" t="str">
        <f>IF(S$2&gt;='[1]1 цех result'!$C59,$AK47,"")</f>
        <v>Сооружение ПП-35 кВ с установкой реклоузера на сооружаемом участке ВЛ-35 кВ. Строительство ВЛ-35 3 км. Установка Т-2-Т 1х1600 кВА. Реконструкция ОРУ-35 кВ. Схема - 35-5Н. ВВ-35 кВ - 2 шт. 1000 А. Сооружение отпайки от ВЛ-35 кВ «Ключевская» на ПС 35/6 кВ «В.Кохановская» длиной ~ 3 км АС-95</v>
      </c>
      <c r="V47" s="20">
        <f>IF(V$2='[1]1 цех result'!$C59,'[1]1 цех_CapEx'!L59,0)</f>
        <v>0</v>
      </c>
      <c r="W47" s="20">
        <f>IF(V$2&gt;='[1]1 цех result'!$D59,'[1]1 цех_CapEx'!L59,0)</f>
        <v>53028.765693866873</v>
      </c>
      <c r="X47" s="20" t="str">
        <f>IF(V$2&gt;='[1]1 цех result'!$C59,$AK47,"")</f>
        <v>Сооружение ПП-35 кВ с установкой реклоузера на сооружаемом участке ВЛ-35 кВ. Строительство ВЛ-35 3 км. Установка Т-2-Т 1х1600 кВА. Реконструкция ОРУ-35 кВ. Схема - 35-5Н. ВВ-35 кВ - 2 шт. 1000 А. Сооружение отпайки от ВЛ-35 кВ «Ключевская» на ПС 35/6 кВ «В.Кохановская» длиной ~ 3 км АС-95</v>
      </c>
      <c r="Y47" s="20">
        <f>IF(Y$2='[1]1 цех result'!$C59,'[1]1 цех_CapEx'!M59,0)</f>
        <v>0</v>
      </c>
      <c r="Z47" s="20">
        <f>IF(Y$2&gt;='[1]1 цех result'!$D59,'[1]1 цех_CapEx'!M59,0)</f>
        <v>0</v>
      </c>
      <c r="AA47" s="20" t="str">
        <f>IF(Y$2&gt;='[1]1 цех result'!$C59,$AK47,"")</f>
        <v>Сооружение ПП-35 кВ с установкой реклоузера на сооружаемом участке ВЛ-35 кВ. Строительство ВЛ-35 3 км. Установка Т-2-Т 1х1600 кВА. Реконструкция ОРУ-35 кВ. Схема - 35-5Н. ВВ-35 кВ - 2 шт. 1000 А. Сооружение отпайки от ВЛ-35 кВ «Ключевская» на ПС 35/6 кВ «В.Кохановская» длиной ~ 3 км АС-95</v>
      </c>
      <c r="AB47" s="20">
        <f>IF(AB$2='[1]1 цех result'!$C59,'[1]1 цех_CapEx'!N59,0)</f>
        <v>0</v>
      </c>
      <c r="AC47" s="20">
        <f>IF(AB$2&gt;='[1]1 цех result'!$D59,'[1]1 цех_CapEx'!N59,0)</f>
        <v>0</v>
      </c>
      <c r="AD47" s="20" t="str">
        <f>IF(AB$2&gt;='[1]1 цех result'!$C59,$AK47,"")</f>
        <v>Сооружение ПП-35 кВ с установкой реклоузера на сооружаемом участке ВЛ-35 кВ. Строительство ВЛ-35 3 км. Установка Т-2-Т 1х1600 кВА. Реконструкция ОРУ-35 кВ. Схема - 35-5Н. ВВ-35 кВ - 2 шт. 1000 А. Сооружение отпайки от ВЛ-35 кВ «Ключевская» на ПС 35/6 кВ «В.Кохановская» длиной ~ 3 км АС-95</v>
      </c>
      <c r="AE47" s="20">
        <f>IF(AE$2='[1]1 цех result'!$C59,'[1]1 цех_CapEx'!O59,0)</f>
        <v>0</v>
      </c>
      <c r="AF47" s="20">
        <f>IF(AE$2&gt;='[1]1 цех result'!$D59,'[1]1 цех_CapEx'!O59,0)</f>
        <v>0</v>
      </c>
      <c r="AG47" s="20" t="str">
        <f>IF(AE$2&gt;='[1]1 цех result'!$C59,$AK47,"")</f>
        <v>Сооружение ПП-35 кВ с установкой реклоузера на сооружаемом участке ВЛ-35 кВ. Строительство ВЛ-35 3 км. Установка Т-2-Т 1х1600 кВА. Реконструкция ОРУ-35 кВ. Схема - 35-5Н. ВВ-35 кВ - 2 шт. 1000 А. Сооружение отпайки от ВЛ-35 кВ «Ключевская» на ПС 35/6 кВ «В.Кохановская» длиной ~ 3 км АС-95</v>
      </c>
      <c r="AH47" s="20">
        <f>IF(AH$2='[1]1 цех result'!$C59,'[1]1 цех_CapEx'!P59,0)</f>
        <v>0</v>
      </c>
      <c r="AI47" s="20">
        <f>IF(AH$2&gt;='[1]1 цех result'!$D59,'[1]1 цех_CapEx'!P59,0)</f>
        <v>0</v>
      </c>
      <c r="AJ47" s="20" t="str">
        <f>IF(AH$2&gt;='[1]1 цех result'!$C59,$AK47,"")</f>
        <v>Сооружение ПП-35 кВ с установкой реклоузера на сооружаемом участке ВЛ-35 кВ. Строительство ВЛ-35 3 км. Установка Т-2-Т 1х1600 кВА. Реконструкция ОРУ-35 кВ. Схема - 35-5Н. ВВ-35 кВ - 2 шт. 1000 А. Сооружение отпайки от ВЛ-35 кВ «Ключевская» на ПС 35/6 кВ «В.Кохановская» длиной ~ 3 км АС-95</v>
      </c>
      <c r="AK47" s="12" t="s">
        <v>74</v>
      </c>
      <c r="AL47" s="19"/>
      <c r="AM47" s="71">
        <f t="shared" si="2"/>
        <v>55143.735279731067</v>
      </c>
      <c r="AN47" s="71">
        <f>'[1]1 цех_CapEx'!$V59</f>
        <v>55143.735279731067</v>
      </c>
      <c r="AO47" s="71">
        <f t="shared" si="1"/>
        <v>0</v>
      </c>
      <c r="AP47" s="55" t="s">
        <v>199</v>
      </c>
      <c r="AQ47" s="79" t="s">
        <v>178</v>
      </c>
    </row>
    <row r="48" spans="1:43" s="25" customFormat="1">
      <c r="A48" s="90">
        <v>39</v>
      </c>
      <c r="B48" s="22" t="s">
        <v>24</v>
      </c>
      <c r="C48" s="22"/>
      <c r="D48" s="23"/>
      <c r="E48" s="23"/>
      <c r="F48" s="23"/>
      <c r="G48" s="24"/>
      <c r="H48" s="23"/>
      <c r="I48" s="23"/>
      <c r="J48" s="24"/>
      <c r="K48" s="23"/>
      <c r="L48" s="23"/>
      <c r="M48" s="24"/>
      <c r="N48" s="23"/>
      <c r="O48" s="23"/>
      <c r="P48" s="24"/>
      <c r="Q48" s="23"/>
      <c r="R48" s="23"/>
      <c r="S48" s="24"/>
      <c r="T48" s="23"/>
      <c r="U48" s="23"/>
      <c r="V48" s="24"/>
      <c r="W48" s="23"/>
      <c r="X48" s="23"/>
      <c r="Y48" s="24"/>
      <c r="Z48" s="23"/>
      <c r="AA48" s="23"/>
      <c r="AB48" s="24"/>
      <c r="AC48" s="23"/>
      <c r="AD48" s="23"/>
      <c r="AE48" s="24"/>
      <c r="AF48" s="23"/>
      <c r="AG48" s="23"/>
      <c r="AH48" s="24"/>
      <c r="AI48" s="23"/>
      <c r="AJ48" s="23"/>
      <c r="AK48" s="58"/>
      <c r="AL48" s="22"/>
      <c r="AM48" s="69">
        <f>SUMIF(C50:C78,1,AM50:AM78)</f>
        <v>5147580.4541140404</v>
      </c>
      <c r="AN48" s="68" t="str">
        <f>IF(ROUND(AM48,5)=ROUND('Свод по цехам_Инвестиции'!R3,5),"","!!!")</f>
        <v>!!!</v>
      </c>
      <c r="AO48" s="22"/>
      <c r="AP48" s="60"/>
      <c r="AQ48" s="75"/>
    </row>
    <row r="49" spans="1:43" s="31" customFormat="1" hidden="1">
      <c r="A49" s="78">
        <f>A47+1</f>
        <v>39</v>
      </c>
      <c r="B49" s="27" t="s">
        <v>11</v>
      </c>
      <c r="C49" s="28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30"/>
      <c r="AL49" s="27"/>
      <c r="AM49" s="27"/>
      <c r="AN49" s="70"/>
      <c r="AO49" s="27"/>
      <c r="AP49" s="61"/>
      <c r="AQ49" s="77"/>
    </row>
    <row r="50" spans="1:43" ht="90">
      <c r="A50" s="78">
        <v>40</v>
      </c>
      <c r="B50" s="19" t="str">
        <f>'[2]2 цех_CapEx'!$B8</f>
        <v>ПС 35/6 кВ 2х4000 кВА "ДНС-1"</v>
      </c>
      <c r="C50" s="32">
        <f>'[2]2 цех_CapEx'!$W8</f>
        <v>1</v>
      </c>
      <c r="D50" s="20">
        <f>IF(D$2='[2]2 цех result'!$C8,'[2]2 цех_CapEx'!F8,0)</f>
        <v>1426.2259799999999</v>
      </c>
      <c r="E50" s="20">
        <f>IF(D$2&gt;='[2]2 цех result'!$D8,'[2]2 цех_CapEx'!F8,0)</f>
        <v>0</v>
      </c>
      <c r="F50" s="20" t="str">
        <f>IF(D$2&gt;='[2]2 цех result'!$C8,$AK50,"")</f>
        <v>Замена: Т-2-Т 35/6 кВ с РПН, тип - ТМН, мощностью 4000 кВА  -1 шт.                                                                             Замена ЛР-35-10 шт.  
 Замена РУ- 6кВ</v>
      </c>
      <c r="G50" s="20">
        <f>IF(G$2='[2]2 цех result'!$C8,'[2]2 цех_CapEx'!G8,0)</f>
        <v>0</v>
      </c>
      <c r="H50" s="20">
        <f>IF(G$2&gt;='[2]2 цех result'!$D8,'[2]2 цех_CapEx'!G8,0)</f>
        <v>0</v>
      </c>
      <c r="I50" s="20" t="str">
        <f>IF(G$2&gt;='[2]2 цех result'!$C8,$AK50,"")</f>
        <v>Замена: Т-2-Т 35/6 кВ с РПН, тип - ТМН, мощностью 4000 кВА  -1 шт.                                                                             Замена ЛР-35-10 шт.  
 Замена РУ- 6кВ</v>
      </c>
      <c r="J50" s="20">
        <f>IF(J$2='[2]2 цех result'!$C8,'[2]2 цех_CapEx'!H8,0)</f>
        <v>0</v>
      </c>
      <c r="K50" s="20">
        <f>IF(J$2&gt;='[2]2 цех result'!$D8,'[2]2 цех_CapEx'!H8,0)</f>
        <v>0</v>
      </c>
      <c r="L50" s="20" t="str">
        <f>IF(J$2&gt;='[2]2 цех result'!$C8,$AK50,"")</f>
        <v>Замена: Т-2-Т 35/6 кВ с РПН, тип - ТМН, мощностью 4000 кВА  -1 шт.                                                                             Замена ЛР-35-10 шт.  
 Замена РУ- 6кВ</v>
      </c>
      <c r="M50" s="20">
        <f>IF(M$2='[2]2 цех result'!$C8,'[2]2 цех_CapEx'!I8,0)</f>
        <v>0</v>
      </c>
      <c r="N50" s="20">
        <f>IF(M$2&gt;='[2]2 цех result'!$D8,'[2]2 цех_CapEx'!I8,0)</f>
        <v>56259.157114993279</v>
      </c>
      <c r="O50" s="20" t="str">
        <f>IF(M$2&gt;='[2]2 цех result'!$C8,$AK50,"")</f>
        <v>Замена: Т-2-Т 35/6 кВ с РПН, тип - ТМН, мощностью 4000 кВА  -1 шт.                                                                             Замена ЛР-35-10 шт.  
 Замена РУ- 6кВ</v>
      </c>
      <c r="P50" s="20">
        <f>IF(P$2='[2]2 цех result'!$C8,'[2]2 цех_CapEx'!J8,0)</f>
        <v>0</v>
      </c>
      <c r="Q50" s="20">
        <f>IF(P$2&gt;='[2]2 цех result'!$D8,'[2]2 цех_CapEx'!J8,0)</f>
        <v>0</v>
      </c>
      <c r="R50" s="20" t="str">
        <f>IF(P$2&gt;='[2]2 цех result'!$C8,$AK50,"")</f>
        <v>Замена: Т-2-Т 35/6 кВ с РПН, тип - ТМН, мощностью 4000 кВА  -1 шт.                                                                             Замена ЛР-35-10 шт.  
 Замена РУ- 6кВ</v>
      </c>
      <c r="S50" s="20">
        <f>IF(S$2='[2]2 цех result'!$C8,'[2]2 цех_CapEx'!K8,0)</f>
        <v>0</v>
      </c>
      <c r="T50" s="20">
        <f>IF(S$2&gt;='[2]2 цех result'!$D8,'[2]2 цех_CapEx'!K8,0)</f>
        <v>0</v>
      </c>
      <c r="U50" s="20" t="str">
        <f>IF(S$2&gt;='[2]2 цех result'!$C8,$AK50,"")</f>
        <v>Замена: Т-2-Т 35/6 кВ с РПН, тип - ТМН, мощностью 4000 кВА  -1 шт.                                                                             Замена ЛР-35-10 шт.  
 Замена РУ- 6кВ</v>
      </c>
      <c r="V50" s="20">
        <f>IF(V$2='[2]2 цех result'!$C8,'[2]2 цех_CapEx'!L8,0)</f>
        <v>0</v>
      </c>
      <c r="W50" s="20">
        <f>IF(V$2&gt;='[2]2 цех result'!$D8,'[2]2 цех_CapEx'!L8,0)</f>
        <v>0</v>
      </c>
      <c r="X50" s="20" t="str">
        <f>IF(V$2&gt;='[2]2 цех result'!$C8,$AK50,"")</f>
        <v>Замена: Т-2-Т 35/6 кВ с РПН, тип - ТМН, мощностью 4000 кВА  -1 шт.                                                                             Замена ЛР-35-10 шт.  
 Замена РУ- 6кВ</v>
      </c>
      <c r="Y50" s="20">
        <f>IF(Y$2='[2]2 цех result'!$C8,'[2]2 цех_CapEx'!M8,0)</f>
        <v>0</v>
      </c>
      <c r="Z50" s="20">
        <f>IF(Y$2&gt;='[2]2 цех result'!$D8,'[2]2 цех_CapEx'!M8,0)</f>
        <v>0</v>
      </c>
      <c r="AA50" s="20" t="str">
        <f>IF(Y$2&gt;='[2]2 цех result'!$C8,$AK50,"")</f>
        <v>Замена: Т-2-Т 35/6 кВ с РПН, тип - ТМН, мощностью 4000 кВА  -1 шт.                                                                             Замена ЛР-35-10 шт.  
 Замена РУ- 6кВ</v>
      </c>
      <c r="AB50" s="20">
        <f>IF(AB$2='[2]2 цех result'!$C8,'[2]2 цех_CapEx'!N8,0)</f>
        <v>0</v>
      </c>
      <c r="AC50" s="20">
        <f>IF(AB$2&gt;='[2]2 цех result'!$D8,'[2]2 цех_CapEx'!N8,0)</f>
        <v>0</v>
      </c>
      <c r="AD50" s="20" t="str">
        <f>IF(AB$2&gt;='[2]2 цех result'!$C8,$AK50,"")</f>
        <v>Замена: Т-2-Т 35/6 кВ с РПН, тип - ТМН, мощностью 4000 кВА  -1 шт.                                                                             Замена ЛР-35-10 шт.  
 Замена РУ- 6кВ</v>
      </c>
      <c r="AE50" s="20">
        <f>IF(AE$2='[2]2 цех result'!$C8,'[2]2 цех_CapEx'!O8,0)</f>
        <v>0</v>
      </c>
      <c r="AF50" s="20">
        <f>IF(AE$2&gt;='[2]2 цех result'!$D8,'[2]2 цех_CapEx'!O8,0)</f>
        <v>0</v>
      </c>
      <c r="AG50" s="20" t="str">
        <f>IF(AE$2&gt;='[2]2 цех result'!$C8,$AK50,"")</f>
        <v>Замена: Т-2-Т 35/6 кВ с РПН, тип - ТМН, мощностью 4000 кВА  -1 шт.                                                                             Замена ЛР-35-10 шт.  
 Замена РУ- 6кВ</v>
      </c>
      <c r="AH50" s="20">
        <f>IF(AH$2='[2]2 цех result'!$C8,'[2]2 цех_CapEx'!P8,0)</f>
        <v>0</v>
      </c>
      <c r="AI50" s="20">
        <f>IF(AH$2&gt;='[2]2 цех result'!$D8,'[2]2 цех_CapEx'!P8,0)</f>
        <v>0</v>
      </c>
      <c r="AJ50" s="20" t="str">
        <f>IF(AH$2&gt;='[2]2 цех result'!$C8,$AK50,"")</f>
        <v>Замена: Т-2-Т 35/6 кВ с РПН, тип - ТМН, мощностью 4000 кВА  -1 шт.                                                                             Замена ЛР-35-10 шт.  
 Замена РУ- 6кВ</v>
      </c>
      <c r="AK50" s="12" t="s">
        <v>75</v>
      </c>
      <c r="AL50" s="19"/>
      <c r="AM50" s="71">
        <f>SUM(D50:AJ50)</f>
        <v>57685.383094993282</v>
      </c>
      <c r="AN50" s="71">
        <f>'[2]2 цех_CapEx'!$V8</f>
        <v>57685.383094993282</v>
      </c>
      <c r="AO50" s="71">
        <f>AM50-AN50</f>
        <v>0</v>
      </c>
      <c r="AP50" s="62" t="s">
        <v>200</v>
      </c>
      <c r="AQ50" s="79" t="s">
        <v>201</v>
      </c>
    </row>
    <row r="51" spans="1:43" ht="225">
      <c r="A51" s="78">
        <v>41</v>
      </c>
      <c r="B51" s="19" t="str">
        <f>'[2]2 цех_CapEx'!$B9</f>
        <v>ПС 35/6 кВ 1х4000 кВА "Парфеновская"</v>
      </c>
      <c r="C51" s="32">
        <f>'[2]2 цех_CapEx'!$W9</f>
        <v>1</v>
      </c>
      <c r="D51" s="20">
        <f>IF(D$2='[2]2 цех result'!$C9,'[2]2 цех_CapEx'!F9,0)</f>
        <v>0</v>
      </c>
      <c r="E51" s="20">
        <f>IF(D$2&gt;='[2]2 цех result'!$D9,'[2]2 цех_CapEx'!F9,0)</f>
        <v>0</v>
      </c>
      <c r="F51" s="20" t="str">
        <f>IF(D$2&gt;='[2]2 цех result'!$C9,$AK51,"")</f>
        <v xml:space="preserve">Двухтрансформаторная ПС -1 шт.   
Установка Т-1-Т, Т-2-Т 2*ТМН-6300/35-У1** с РПН в пределах 35±.4х2,5%..  
Строительство ЛЭП 110 кВ - 23 км.                                                              
Строительство РУ по схеме 35-9
Установка ВВ-35 кВ-1000 А - 6 шт +1 (присоединение к ПС Кудиновская); СВВ-35 кВ - 1000 А - 1 шт. </v>
      </c>
      <c r="G51" s="20">
        <f>IF(G$2='[2]2 цех result'!$C9,'[2]2 цех_CapEx'!G9,0)</f>
        <v>0</v>
      </c>
      <c r="H51" s="20">
        <f>IF(G$2&gt;='[2]2 цех result'!$D9,'[2]2 цех_CapEx'!G9,0)</f>
        <v>199721.13250308999</v>
      </c>
      <c r="I51" s="20" t="str">
        <f>IF(G$2&gt;='[2]2 цех result'!$C9,$AK51,"")</f>
        <v xml:space="preserve">Двухтрансформаторная ПС -1 шт.   
Установка Т-1-Т, Т-2-Т 2*ТМН-6300/35-У1** с РПН в пределах 35±.4х2,5%..  
Строительство ЛЭП 110 кВ - 23 км.                                                              
Строительство РУ по схеме 35-9
Установка ВВ-35 кВ-1000 А - 6 шт +1 (присоединение к ПС Кудиновская); СВВ-35 кВ - 1000 А - 1 шт. </v>
      </c>
      <c r="J51" s="20">
        <f>IF(J$2='[2]2 цех result'!$C9,'[2]2 цех_CapEx'!H9,0)</f>
        <v>0</v>
      </c>
      <c r="K51" s="20">
        <f>IF(J$2&gt;='[2]2 цех result'!$D9,'[2]2 цех_CapEx'!H9,0)</f>
        <v>0</v>
      </c>
      <c r="L51" s="20" t="str">
        <f>IF(J$2&gt;='[2]2 цех result'!$C9,$AK51,"")</f>
        <v xml:space="preserve">Двухтрансформаторная ПС -1 шт.   
Установка Т-1-Т, Т-2-Т 2*ТМН-6300/35-У1** с РПН в пределах 35±.4х2,5%..  
Строительство ЛЭП 110 кВ - 23 км.                                                              
Строительство РУ по схеме 35-9
Установка ВВ-35 кВ-1000 А - 6 шт +1 (присоединение к ПС Кудиновская); СВВ-35 кВ - 1000 А - 1 шт. </v>
      </c>
      <c r="M51" s="20">
        <f>IF(M$2='[2]2 цех result'!$C9,'[2]2 цех_CapEx'!I9,0)</f>
        <v>0</v>
      </c>
      <c r="N51" s="20">
        <f>IF(M$2&gt;='[2]2 цех result'!$D9,'[2]2 цех_CapEx'!I9,0)</f>
        <v>0</v>
      </c>
      <c r="O51" s="20" t="str">
        <f>IF(M$2&gt;='[2]2 цех result'!$C9,$AK51,"")</f>
        <v xml:space="preserve">Двухтрансформаторная ПС -1 шт.   
Установка Т-1-Т, Т-2-Т 2*ТМН-6300/35-У1** с РПН в пределах 35±.4х2,5%..  
Строительство ЛЭП 110 кВ - 23 км.                                                              
Строительство РУ по схеме 35-9
Установка ВВ-35 кВ-1000 А - 6 шт +1 (присоединение к ПС Кудиновская); СВВ-35 кВ - 1000 А - 1 шт. </v>
      </c>
      <c r="P51" s="20">
        <f>IF(P$2='[2]2 цех result'!$C9,'[2]2 цех_CapEx'!J9,0)</f>
        <v>0</v>
      </c>
      <c r="Q51" s="20">
        <f>IF(P$2&gt;='[2]2 цех result'!$D9,'[2]2 цех_CapEx'!J9,0)</f>
        <v>0</v>
      </c>
      <c r="R51" s="20" t="str">
        <f>IF(P$2&gt;='[2]2 цех result'!$C9,$AK51,"")</f>
        <v xml:space="preserve">Двухтрансформаторная ПС -1 шт.   
Установка Т-1-Т, Т-2-Т 2*ТМН-6300/35-У1** с РПН в пределах 35±.4х2,5%..  
Строительство ЛЭП 110 кВ - 23 км.                                                              
Строительство РУ по схеме 35-9
Установка ВВ-35 кВ-1000 А - 6 шт +1 (присоединение к ПС Кудиновская); СВВ-35 кВ - 1000 А - 1 шт. </v>
      </c>
      <c r="S51" s="20">
        <f>IF(S$2='[2]2 цех result'!$C9,'[2]2 цех_CapEx'!K9,0)</f>
        <v>0</v>
      </c>
      <c r="T51" s="20">
        <f>IF(S$2&gt;='[2]2 цех result'!$D9,'[2]2 цех_CapEx'!K9,0)</f>
        <v>0</v>
      </c>
      <c r="U51" s="20" t="str">
        <f>IF(S$2&gt;='[2]2 цех result'!$C9,$AK51,"")</f>
        <v xml:space="preserve">Двухтрансформаторная ПС -1 шт.   
Установка Т-1-Т, Т-2-Т 2*ТМН-6300/35-У1** с РПН в пределах 35±.4х2,5%..  
Строительство ЛЭП 110 кВ - 23 км.                                                              
Строительство РУ по схеме 35-9
Установка ВВ-35 кВ-1000 А - 6 шт +1 (присоединение к ПС Кудиновская); СВВ-35 кВ - 1000 А - 1 шт. </v>
      </c>
      <c r="V51" s="20">
        <f>IF(V$2='[2]2 цех result'!$C9,'[2]2 цех_CapEx'!L9,0)</f>
        <v>0</v>
      </c>
      <c r="W51" s="20">
        <f>IF(V$2&gt;='[2]2 цех result'!$D9,'[2]2 цех_CapEx'!L9,0)</f>
        <v>0</v>
      </c>
      <c r="X51" s="20" t="str">
        <f>IF(V$2&gt;='[2]2 цех result'!$C9,$AK51,"")</f>
        <v xml:space="preserve">Двухтрансформаторная ПС -1 шт.   
Установка Т-1-Т, Т-2-Т 2*ТМН-6300/35-У1** с РПН в пределах 35±.4х2,5%..  
Строительство ЛЭП 110 кВ - 23 км.                                                              
Строительство РУ по схеме 35-9
Установка ВВ-35 кВ-1000 А - 6 шт +1 (присоединение к ПС Кудиновская); СВВ-35 кВ - 1000 А - 1 шт. </v>
      </c>
      <c r="Y51" s="20">
        <f>IF(Y$2='[2]2 цех result'!$C9,'[2]2 цех_CapEx'!M9,0)</f>
        <v>0</v>
      </c>
      <c r="Z51" s="20">
        <f>IF(Y$2&gt;='[2]2 цех result'!$D9,'[2]2 цех_CapEx'!M9,0)</f>
        <v>0</v>
      </c>
      <c r="AA51" s="20" t="str">
        <f>IF(Y$2&gt;='[2]2 цех result'!$C9,$AK51,"")</f>
        <v xml:space="preserve">Двухтрансформаторная ПС -1 шт.   
Установка Т-1-Т, Т-2-Т 2*ТМН-6300/35-У1** с РПН в пределах 35±.4х2,5%..  
Строительство ЛЭП 110 кВ - 23 км.                                                              
Строительство РУ по схеме 35-9
Установка ВВ-35 кВ-1000 А - 6 шт +1 (присоединение к ПС Кудиновская); СВВ-35 кВ - 1000 А - 1 шт. </v>
      </c>
      <c r="AB51" s="20">
        <f>IF(AB$2='[2]2 цех result'!$C9,'[2]2 цех_CapEx'!N9,0)</f>
        <v>0</v>
      </c>
      <c r="AC51" s="20">
        <f>IF(AB$2&gt;='[2]2 цех result'!$D9,'[2]2 цех_CapEx'!N9,0)</f>
        <v>0</v>
      </c>
      <c r="AD51" s="20" t="str">
        <f>IF(AB$2&gt;='[2]2 цех result'!$C9,$AK51,"")</f>
        <v xml:space="preserve">Двухтрансформаторная ПС -1 шт.   
Установка Т-1-Т, Т-2-Т 2*ТМН-6300/35-У1** с РПН в пределах 35±.4х2,5%..  
Строительство ЛЭП 110 кВ - 23 км.                                                              
Строительство РУ по схеме 35-9
Установка ВВ-35 кВ-1000 А - 6 шт +1 (присоединение к ПС Кудиновская); СВВ-35 кВ - 1000 А - 1 шт. </v>
      </c>
      <c r="AE51" s="20">
        <f>IF(AE$2='[2]2 цех result'!$C9,'[2]2 цех_CapEx'!O9,0)</f>
        <v>0</v>
      </c>
      <c r="AF51" s="20">
        <f>IF(AE$2&gt;='[2]2 цех result'!$D9,'[2]2 цех_CapEx'!O9,0)</f>
        <v>0</v>
      </c>
      <c r="AG51" s="20" t="str">
        <f>IF(AE$2&gt;='[2]2 цех result'!$C9,$AK51,"")</f>
        <v xml:space="preserve">Двухтрансформаторная ПС -1 шт.   
Установка Т-1-Т, Т-2-Т 2*ТМН-6300/35-У1** с РПН в пределах 35±.4х2,5%..  
Строительство ЛЭП 110 кВ - 23 км.                                                              
Строительство РУ по схеме 35-9
Установка ВВ-35 кВ-1000 А - 6 шт +1 (присоединение к ПС Кудиновская); СВВ-35 кВ - 1000 А - 1 шт. </v>
      </c>
      <c r="AH51" s="20">
        <f>IF(AH$2='[2]2 цех result'!$C9,'[2]2 цех_CapEx'!P9,0)</f>
        <v>0</v>
      </c>
      <c r="AI51" s="20">
        <f>IF(AH$2&gt;='[2]2 цех result'!$D9,'[2]2 цех_CapEx'!P9,0)</f>
        <v>0</v>
      </c>
      <c r="AJ51" s="20" t="str">
        <f>IF(AH$2&gt;='[2]2 цех result'!$C9,$AK51,"")</f>
        <v xml:space="preserve">Двухтрансформаторная ПС -1 шт.   
Установка Т-1-Т, Т-2-Т 2*ТМН-6300/35-У1** с РПН в пределах 35±.4х2,5%..  
Строительство ЛЭП 110 кВ - 23 км.                                                              
Строительство РУ по схеме 35-9
Установка ВВ-35 кВ-1000 А - 6 шт +1 (присоединение к ПС Кудиновская); СВВ-35 кВ - 1000 А - 1 шт. </v>
      </c>
      <c r="AK51" s="12" t="s">
        <v>76</v>
      </c>
      <c r="AL51" s="19"/>
      <c r="AM51" s="71">
        <f>SUM(D51:AJ51)</f>
        <v>199721.13250308999</v>
      </c>
      <c r="AN51" s="71">
        <f>'[2]2 цех_CapEx'!$V9</f>
        <v>199721.13250308999</v>
      </c>
      <c r="AO51" s="71">
        <f>AM51-AN51</f>
        <v>0</v>
      </c>
      <c r="AP51" s="276" t="s">
        <v>202</v>
      </c>
      <c r="AQ51" s="277" t="s">
        <v>201</v>
      </c>
    </row>
    <row r="52" spans="1:43" ht="30">
      <c r="A52" s="78">
        <v>42</v>
      </c>
      <c r="B52" s="19" t="str">
        <f>'[2]2 цех_CapEx'!$B10</f>
        <v>ПС 35/6 кВ 1х4000 кВА "Парфеновская" КРУН 6 кВ)</v>
      </c>
      <c r="C52" s="32">
        <f>'[2]2 цех_CapEx'!$W10</f>
        <v>1</v>
      </c>
      <c r="D52" s="20">
        <f>IF(D$2='[2]2 цех result'!$C10,'[2]2 цех_CapEx'!F10,0)</f>
        <v>900.90719999999999</v>
      </c>
      <c r="E52" s="20">
        <f>IF(D$2&gt;='[2]2 цех result'!$D10,'[2]2 цех_CapEx'!F10,0)</f>
        <v>0</v>
      </c>
      <c r="F52" s="20" t="str">
        <f>IF(D$2&gt;='[2]2 цех result'!$C10,$AK52,"")</f>
        <v>Строительство КРУН-6 кВ ВВ - 14яч.</v>
      </c>
      <c r="G52" s="20">
        <f>IF(G$2='[2]2 цех result'!$C10,'[2]2 цех_CapEx'!G10,0)</f>
        <v>0</v>
      </c>
      <c r="H52" s="20">
        <f>IF(G$2&gt;='[2]2 цех result'!$D10,'[2]2 цех_CapEx'!G10,0)</f>
        <v>0</v>
      </c>
      <c r="I52" s="20" t="str">
        <f>IF(G$2&gt;='[2]2 цех result'!$C10,$AK52,"")</f>
        <v>Строительство КРУН-6 кВ ВВ - 14яч.</v>
      </c>
      <c r="J52" s="20">
        <f>IF(J$2='[2]2 цех result'!$C10,'[2]2 цех_CapEx'!H10,0)</f>
        <v>0</v>
      </c>
      <c r="K52" s="20">
        <f>IF(J$2&gt;='[2]2 цех result'!$D10,'[2]2 цех_CapEx'!H10,0)</f>
        <v>0</v>
      </c>
      <c r="L52" s="20" t="str">
        <f>IF(J$2&gt;='[2]2 цех result'!$C10,$AK52,"")</f>
        <v>Строительство КРУН-6 кВ ВВ - 14яч.</v>
      </c>
      <c r="M52" s="20">
        <f>IF(M$2='[2]2 цех result'!$C10,'[2]2 цех_CapEx'!I10,0)</f>
        <v>0</v>
      </c>
      <c r="N52" s="20">
        <f>IF(M$2&gt;='[2]2 цех result'!$D10,'[2]2 цех_CapEx'!I10,0)</f>
        <v>0</v>
      </c>
      <c r="O52" s="20" t="str">
        <f>IF(M$2&gt;='[2]2 цех result'!$C10,$AK52,"")</f>
        <v>Строительство КРУН-6 кВ ВВ - 14яч.</v>
      </c>
      <c r="P52" s="20">
        <f>IF(P$2='[2]2 цех result'!$C10,'[2]2 цех_CapEx'!J10,0)</f>
        <v>0</v>
      </c>
      <c r="Q52" s="20">
        <f>IF(P$2&gt;='[2]2 цех result'!$D10,'[2]2 цех_CapEx'!J10,0)</f>
        <v>0</v>
      </c>
      <c r="R52" s="20" t="str">
        <f>IF(P$2&gt;='[2]2 цех result'!$C10,$AK52,"")</f>
        <v>Строительство КРУН-6 кВ ВВ - 14яч.</v>
      </c>
      <c r="S52" s="20">
        <f>IF(S$2='[2]2 цех result'!$C10,'[2]2 цех_CapEx'!K10,0)</f>
        <v>0</v>
      </c>
      <c r="T52" s="20">
        <f>IF(S$2&gt;='[2]2 цех result'!$D10,'[2]2 цех_CapEx'!K10,0)</f>
        <v>39816.392792683218</v>
      </c>
      <c r="U52" s="20" t="str">
        <f>IF(S$2&gt;='[2]2 цех result'!$C10,$AK52,"")</f>
        <v>Строительство КРУН-6 кВ ВВ - 14яч.</v>
      </c>
      <c r="V52" s="20">
        <f>IF(V$2='[2]2 цех result'!$C10,'[2]2 цех_CapEx'!L10,0)</f>
        <v>0</v>
      </c>
      <c r="W52" s="20">
        <f>IF(V$2&gt;='[2]2 цех result'!$D10,'[2]2 цех_CapEx'!L10,0)</f>
        <v>0</v>
      </c>
      <c r="X52" s="20" t="str">
        <f>IF(V$2&gt;='[2]2 цех result'!$C10,$AK52,"")</f>
        <v>Строительство КРУН-6 кВ ВВ - 14яч.</v>
      </c>
      <c r="Y52" s="20">
        <f>IF(Y$2='[2]2 цех result'!$C10,'[2]2 цех_CapEx'!M10,0)</f>
        <v>0</v>
      </c>
      <c r="Z52" s="20">
        <f>IF(Y$2&gt;='[2]2 цех result'!$D10,'[2]2 цех_CapEx'!M10,0)</f>
        <v>0</v>
      </c>
      <c r="AA52" s="20" t="str">
        <f>IF(Y$2&gt;='[2]2 цех result'!$C10,$AK52,"")</f>
        <v>Строительство КРУН-6 кВ ВВ - 14яч.</v>
      </c>
      <c r="AB52" s="20">
        <f>IF(AB$2='[2]2 цех result'!$C10,'[2]2 цех_CapEx'!N10,0)</f>
        <v>0</v>
      </c>
      <c r="AC52" s="20">
        <f>IF(AB$2&gt;='[2]2 цех result'!$D10,'[2]2 цех_CapEx'!N10,0)</f>
        <v>0</v>
      </c>
      <c r="AD52" s="20" t="str">
        <f>IF(AB$2&gt;='[2]2 цех result'!$C10,$AK52,"")</f>
        <v>Строительство КРУН-6 кВ ВВ - 14яч.</v>
      </c>
      <c r="AE52" s="20">
        <f>IF(AE$2='[2]2 цех result'!$C10,'[2]2 цех_CapEx'!O10,0)</f>
        <v>0</v>
      </c>
      <c r="AF52" s="20">
        <f>IF(AE$2&gt;='[2]2 цех result'!$D10,'[2]2 цех_CapEx'!O10,0)</f>
        <v>0</v>
      </c>
      <c r="AG52" s="20" t="str">
        <f>IF(AE$2&gt;='[2]2 цех result'!$C10,$AK52,"")</f>
        <v>Строительство КРУН-6 кВ ВВ - 14яч.</v>
      </c>
      <c r="AH52" s="20">
        <f>IF(AH$2='[2]2 цех result'!$C10,'[2]2 цех_CapEx'!P10,0)</f>
        <v>0</v>
      </c>
      <c r="AI52" s="20">
        <f>IF(AH$2&gt;='[2]2 цех result'!$D10,'[2]2 цех_CapEx'!P10,0)</f>
        <v>0</v>
      </c>
      <c r="AJ52" s="20" t="str">
        <f>IF(AH$2&gt;='[2]2 цех result'!$C10,$AK52,"")</f>
        <v>Строительство КРУН-6 кВ ВВ - 14яч.</v>
      </c>
      <c r="AK52" s="12" t="s">
        <v>77</v>
      </c>
      <c r="AL52" s="19"/>
      <c r="AM52" s="71">
        <f>SUM(D52:AJ52)</f>
        <v>40717.29999268322</v>
      </c>
      <c r="AN52" s="71">
        <f>'[2]2 цех_CapEx'!$V10</f>
        <v>40717.29999268322</v>
      </c>
      <c r="AO52" s="71">
        <f>AM52-AN52</f>
        <v>0</v>
      </c>
      <c r="AP52" s="276"/>
      <c r="AQ52" s="277"/>
    </row>
    <row r="53" spans="1:43" ht="210">
      <c r="A53" s="78">
        <v>43</v>
      </c>
      <c r="B53" s="19" t="str">
        <f>'[2]2 цех_CapEx'!$B11</f>
        <v>ПС 35/6 "Чаганская"</v>
      </c>
      <c r="C53" s="32">
        <f>'[2]2 цех_CapEx'!$W11</f>
        <v>1</v>
      </c>
      <c r="D53" s="20">
        <f>IF(D$2='[2]2 цех result'!$C11,'[2]2 цех_CapEx'!F11,0)</f>
        <v>0</v>
      </c>
      <c r="E53" s="20">
        <f>IF(D$2&gt;='[2]2 цех result'!$D11,'[2]2 цех_CapEx'!F11,0)</f>
        <v>0</v>
      </c>
      <c r="F53" s="20" t="str">
        <f>IF(D$2&gt;='[2]2 цех result'!$C11,$AK53,"")</f>
        <v/>
      </c>
      <c r="G53" s="20">
        <f>IF(G$2='[2]2 цех result'!$C11,'[2]2 цех_CapEx'!G11,0)</f>
        <v>0</v>
      </c>
      <c r="H53" s="20">
        <f>IF(G$2&gt;='[2]2 цех result'!$D11,'[2]2 цех_CapEx'!G11,0)</f>
        <v>0</v>
      </c>
      <c r="I53" s="20" t="str">
        <f>IF(G$2&gt;='[2]2 цех result'!$C11,$AK53,"")</f>
        <v/>
      </c>
      <c r="J53" s="20">
        <f>IF(J$2='[2]2 цех result'!$C11,'[2]2 цех_CapEx'!H11,0)</f>
        <v>0</v>
      </c>
      <c r="K53" s="20">
        <f>IF(J$2&gt;='[2]2 цех result'!$D11,'[2]2 цех_CapEx'!H11,0)</f>
        <v>0</v>
      </c>
      <c r="L53" s="20" t="str">
        <f>IF(J$2&gt;='[2]2 цех result'!$C11,$AK53,"")</f>
        <v/>
      </c>
      <c r="M53" s="20">
        <f>IF(M$2='[2]2 цех result'!$C11,'[2]2 цех_CapEx'!I11,0)</f>
        <v>0</v>
      </c>
      <c r="N53" s="20">
        <f>IF(M$2&gt;='[2]2 цех result'!$D11,'[2]2 цех_CapEx'!I11,0)</f>
        <v>0</v>
      </c>
      <c r="O53" s="20" t="str">
        <f>IF(M$2&gt;='[2]2 цех result'!$C11,$AK53,"")</f>
        <v/>
      </c>
      <c r="P53" s="20">
        <f>IF(P$2='[2]2 цех result'!$C11,'[2]2 цех_CapEx'!J11,0)</f>
        <v>4673.676529476129</v>
      </c>
      <c r="Q53" s="20">
        <f>IF(P$2&gt;='[2]2 цех result'!$D11,'[2]2 цех_CapEx'!J11,0)</f>
        <v>0</v>
      </c>
      <c r="R53" s="20" t="str">
        <f>IF(P$2&gt;='[2]2 цех result'!$C11,$AK53,"")</f>
        <v>Установка Т-1,2-Т ТМН-6300/35-У1 - 2 шт.
Установка ВВ-35 кВ-1000 - 3 шт
Строительство РУ по схеме 35-5АН
Строительство ВЛ-35 кВ АС-95 - 6,5 км
Строительство КРУН 6 кВ - 12 яч. Монтаж АВР 35кВ.
Ликвидация ПС Красносамарская</v>
      </c>
      <c r="S53" s="20">
        <f>IF(S$2='[2]2 цех result'!$C11,'[2]2 цех_CapEx'!K11,0)</f>
        <v>0</v>
      </c>
      <c r="T53" s="20">
        <f>IF(S$2&gt;='[2]2 цех result'!$D11,'[2]2 цех_CapEx'!K11,0)</f>
        <v>120685.96370656832</v>
      </c>
      <c r="U53" s="20" t="str">
        <f>IF(S$2&gt;='[2]2 цех result'!$C11,$AK53,"")</f>
        <v>Установка Т-1,2-Т ТМН-6300/35-У1 - 2 шт.
Установка ВВ-35 кВ-1000 - 3 шт
Строительство РУ по схеме 35-5АН
Строительство ВЛ-35 кВ АС-95 - 6,5 км
Строительство КРУН 6 кВ - 12 яч. Монтаж АВР 35кВ.
Ликвидация ПС Красносамарская</v>
      </c>
      <c r="V53" s="20">
        <f>IF(V$2='[2]2 цех result'!$C11,'[2]2 цех_CapEx'!L11,0)</f>
        <v>0</v>
      </c>
      <c r="W53" s="20">
        <f>IF(V$2&gt;='[2]2 цех result'!$D11,'[2]2 цех_CapEx'!L11,0)</f>
        <v>0</v>
      </c>
      <c r="X53" s="20" t="str">
        <f>IF(V$2&gt;='[2]2 цех result'!$C11,$AK53,"")</f>
        <v>Установка Т-1,2-Т ТМН-6300/35-У1 - 2 шт.
Установка ВВ-35 кВ-1000 - 3 шт
Строительство РУ по схеме 35-5АН
Строительство ВЛ-35 кВ АС-95 - 6,5 км
Строительство КРУН 6 кВ - 12 яч. Монтаж АВР 35кВ.
Ликвидация ПС Красносамарская</v>
      </c>
      <c r="Y53" s="20">
        <f>IF(Y$2='[2]2 цех result'!$C11,'[2]2 цех_CapEx'!M11,0)</f>
        <v>0</v>
      </c>
      <c r="Z53" s="20">
        <f>IF(Y$2&gt;='[2]2 цех result'!$D11,'[2]2 цех_CapEx'!M11,0)</f>
        <v>0</v>
      </c>
      <c r="AA53" s="20" t="str">
        <f>IF(Y$2&gt;='[2]2 цех result'!$C11,$AK53,"")</f>
        <v>Установка Т-1,2-Т ТМН-6300/35-У1 - 2 шт.
Установка ВВ-35 кВ-1000 - 3 шт
Строительство РУ по схеме 35-5АН
Строительство ВЛ-35 кВ АС-95 - 6,5 км
Строительство КРУН 6 кВ - 12 яч. Монтаж АВР 35кВ.
Ликвидация ПС Красносамарская</v>
      </c>
      <c r="AB53" s="20">
        <f>IF(AB$2='[2]2 цех result'!$C11,'[2]2 цех_CapEx'!N11,0)</f>
        <v>0</v>
      </c>
      <c r="AC53" s="20">
        <f>IF(AB$2&gt;='[2]2 цех result'!$D11,'[2]2 цех_CapEx'!N11,0)</f>
        <v>0</v>
      </c>
      <c r="AD53" s="20" t="str">
        <f>IF(AB$2&gt;='[2]2 цех result'!$C11,$AK53,"")</f>
        <v>Установка Т-1,2-Т ТМН-6300/35-У1 - 2 шт.
Установка ВВ-35 кВ-1000 - 3 шт
Строительство РУ по схеме 35-5АН
Строительство ВЛ-35 кВ АС-95 - 6,5 км
Строительство КРУН 6 кВ - 12 яч. Монтаж АВР 35кВ.
Ликвидация ПС Красносамарская</v>
      </c>
      <c r="AE53" s="20">
        <f>IF(AE$2='[2]2 цех result'!$C11,'[2]2 цех_CapEx'!O11,0)</f>
        <v>0</v>
      </c>
      <c r="AF53" s="20">
        <f>IF(AE$2&gt;='[2]2 цех result'!$D11,'[2]2 цех_CapEx'!O11,0)</f>
        <v>0</v>
      </c>
      <c r="AG53" s="20" t="str">
        <f>IF(AE$2&gt;='[2]2 цех result'!$C11,$AK53,"")</f>
        <v>Установка Т-1,2-Т ТМН-6300/35-У1 - 2 шт.
Установка ВВ-35 кВ-1000 - 3 шт
Строительство РУ по схеме 35-5АН
Строительство ВЛ-35 кВ АС-95 - 6,5 км
Строительство КРУН 6 кВ - 12 яч. Монтаж АВР 35кВ.
Ликвидация ПС Красносамарская</v>
      </c>
      <c r="AH53" s="20">
        <f>IF(AH$2='[2]2 цех result'!$C11,'[2]2 цех_CapEx'!P11,0)</f>
        <v>0</v>
      </c>
      <c r="AI53" s="20">
        <f>IF(AH$2&gt;='[2]2 цех result'!$D11,'[2]2 цех_CapEx'!P11,0)</f>
        <v>0</v>
      </c>
      <c r="AJ53" s="20" t="str">
        <f>IF(AH$2&gt;='[2]2 цех result'!$C11,$AK53,"")</f>
        <v>Установка Т-1,2-Т ТМН-6300/35-У1 - 2 шт.
Установка ВВ-35 кВ-1000 - 3 шт
Строительство РУ по схеме 35-5АН
Строительство ВЛ-35 кВ АС-95 - 6,5 км
Строительство КРУН 6 кВ - 12 яч. Монтаж АВР 35кВ.
Ликвидация ПС Красносамарская</v>
      </c>
      <c r="AK53" s="12" t="s">
        <v>78</v>
      </c>
      <c r="AL53" s="19"/>
      <c r="AM53" s="71">
        <f>SUM(D53:AJ53)</f>
        <v>125359.64023604445</v>
      </c>
      <c r="AN53" s="71">
        <f>'[2]2 цех_CapEx'!$V11</f>
        <v>125359.64023604445</v>
      </c>
      <c r="AO53" s="71">
        <f>AM53-AN53</f>
        <v>0</v>
      </c>
      <c r="AP53" s="62" t="s">
        <v>203</v>
      </c>
      <c r="AQ53" s="79" t="s">
        <v>201</v>
      </c>
    </row>
    <row r="54" spans="1:43" s="31" customFormat="1" hidden="1">
      <c r="A54" s="78">
        <f>A52+1</f>
        <v>43</v>
      </c>
      <c r="B54" s="39" t="s">
        <v>25</v>
      </c>
      <c r="C54" s="40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30"/>
      <c r="AL54" s="27"/>
      <c r="AM54" s="27"/>
      <c r="AN54" s="27"/>
      <c r="AO54" s="27"/>
      <c r="AP54" s="61"/>
      <c r="AQ54" s="77"/>
    </row>
    <row r="55" spans="1:43" ht="135">
      <c r="A55" s="78">
        <v>44</v>
      </c>
      <c r="B55" s="19" t="str">
        <f>'[2]2 цех_CapEx'!$B16</f>
        <v>ПС 35/6 кВ 1х4000 кВА "Грековская" - II</v>
      </c>
      <c r="C55" s="32">
        <f>'[2]2 цех_CapEx'!$W16</f>
        <v>1</v>
      </c>
      <c r="D55" s="20">
        <f>IF(D$2='[2]2 цех result'!$C16,'[2]2 цех_CapEx'!F16,0)</f>
        <v>0</v>
      </c>
      <c r="E55" s="20">
        <f>IF(D$2&gt;='[2]2 цех result'!$D16,'[2]2 цех_CapEx'!F16,0)</f>
        <v>0</v>
      </c>
      <c r="F55" s="20" t="str">
        <f>IF(D$2&gt;='[2]2 цех result'!$C16,$AK55,"")</f>
        <v/>
      </c>
      <c r="G55" s="20">
        <f>IF(G$2='[2]2 цех result'!$C16,'[2]2 цех_CapEx'!G16,0)</f>
        <v>15741.440147219999</v>
      </c>
      <c r="H55" s="20">
        <f>IF(G$2&gt;='[2]2 цех result'!$D16,'[2]2 цех_CapEx'!G16,0)</f>
        <v>0</v>
      </c>
      <c r="I55" s="20" t="str">
        <f>IF(G$2&gt;='[2]2 цех result'!$C16,$AK55,"")</f>
        <v xml:space="preserve">Установка СТ 110/35/6 кВ 25000 кВА - 2 шт. (ТДТН-25000/110/35/6 У1 с АРН и РПН) Установка ЭВ -1000 А -  3 шт., ВВ-35 кВ - 1000 А - 6 шт., СВВ-35 кВ - 1000 А - 1 шт.  </v>
      </c>
      <c r="J55" s="20">
        <f>IF(J$2='[2]2 цех result'!$C16,'[2]2 цех_CapEx'!H16,0)</f>
        <v>0</v>
      </c>
      <c r="K55" s="20">
        <f>IF(J$2&gt;='[2]2 цех result'!$D16,'[2]2 цех_CapEx'!H16,0)</f>
        <v>0</v>
      </c>
      <c r="L55" s="20" t="str">
        <f>IF(J$2&gt;='[2]2 цех result'!$C16,$AK55,"")</f>
        <v xml:space="preserve">Установка СТ 110/35/6 кВ 25000 кВА - 2 шт. (ТДТН-25000/110/35/6 У1 с АРН и РПН) Установка ЭВ -1000 А -  3 шт., ВВ-35 кВ - 1000 А - 6 шт., СВВ-35 кВ - 1000 А - 1 шт.  </v>
      </c>
      <c r="M55" s="20">
        <f>IF(M$2='[2]2 цех result'!$C16,'[2]2 цех_CapEx'!I16,0)</f>
        <v>0</v>
      </c>
      <c r="N55" s="20">
        <f>IF(M$2&gt;='[2]2 цех result'!$D16,'[2]2 цех_CapEx'!I16,0)</f>
        <v>0</v>
      </c>
      <c r="O55" s="20" t="str">
        <f>IF(M$2&gt;='[2]2 цех result'!$C16,$AK55,"")</f>
        <v xml:space="preserve">Установка СТ 110/35/6 кВ 25000 кВА - 2 шт. (ТДТН-25000/110/35/6 У1 с АРН и РПН) Установка ЭВ -1000 А -  3 шт., ВВ-35 кВ - 1000 А - 6 шт., СВВ-35 кВ - 1000 А - 1 шт.  </v>
      </c>
      <c r="P55" s="36">
        <f>IF(P$2='[2]2 цех result'!$C16,'[2]2 цех_CapEx'!J16,0)</f>
        <v>0</v>
      </c>
      <c r="Q55" s="36">
        <f>IF(P$2&gt;='[2]2 цех result'!$D16,'[2]2 цех_CapEx'!J16,0)</f>
        <v>603328.29742408777</v>
      </c>
      <c r="R55" s="20" t="str">
        <f>IF(P$2&gt;='[2]2 цех result'!$C16,$AK55,"")</f>
        <v xml:space="preserve">Установка СТ 110/35/6 кВ 25000 кВА - 2 шт. (ТДТН-25000/110/35/6 У1 с АРН и РПН) Установка ЭВ -1000 А -  3 шт., ВВ-35 кВ - 1000 А - 6 шт., СВВ-35 кВ - 1000 А - 1 шт.  </v>
      </c>
      <c r="S55" s="20">
        <f>IF(S$2='[2]2 цех result'!$C16,'[2]2 цех_CapEx'!K16,0)</f>
        <v>0</v>
      </c>
      <c r="T55" s="20">
        <f>IF(S$2&gt;='[2]2 цех result'!$D16,'[2]2 цех_CapEx'!K16,0)</f>
        <v>0</v>
      </c>
      <c r="U55" s="20" t="str">
        <f>IF(S$2&gt;='[2]2 цех result'!$C16,$AK55,"")</f>
        <v xml:space="preserve">Установка СТ 110/35/6 кВ 25000 кВА - 2 шт. (ТДТН-25000/110/35/6 У1 с АРН и РПН) Установка ЭВ -1000 А -  3 шт., ВВ-35 кВ - 1000 А - 6 шт., СВВ-35 кВ - 1000 А - 1 шт.  </v>
      </c>
      <c r="V55" s="20">
        <f>IF(V$2='[2]2 цех result'!$C16,'[2]2 цех_CapEx'!L16,0)</f>
        <v>0</v>
      </c>
      <c r="W55" s="20">
        <f>IF(V$2&gt;='[2]2 цех result'!$D16,'[2]2 цех_CapEx'!L16,0)</f>
        <v>0</v>
      </c>
      <c r="X55" s="20" t="str">
        <f>IF(V$2&gt;='[2]2 цех result'!$C16,$AK55,"")</f>
        <v xml:space="preserve">Установка СТ 110/35/6 кВ 25000 кВА - 2 шт. (ТДТН-25000/110/35/6 У1 с АРН и РПН) Установка ЭВ -1000 А -  3 шт., ВВ-35 кВ - 1000 А - 6 шт., СВВ-35 кВ - 1000 А - 1 шт.  </v>
      </c>
      <c r="Y55" s="20">
        <f>IF(Y$2='[2]2 цех result'!$C16,'[2]2 цех_CapEx'!M16,0)</f>
        <v>0</v>
      </c>
      <c r="Z55" s="20">
        <f>IF(Y$2&gt;='[2]2 цех result'!$D16,'[2]2 цех_CapEx'!M16,0)</f>
        <v>0</v>
      </c>
      <c r="AA55" s="20" t="str">
        <f>IF(Y$2&gt;='[2]2 цех result'!$C16,$AK55,"")</f>
        <v xml:space="preserve">Установка СТ 110/35/6 кВ 25000 кВА - 2 шт. (ТДТН-25000/110/35/6 У1 с АРН и РПН) Установка ЭВ -1000 А -  3 шт., ВВ-35 кВ - 1000 А - 6 шт., СВВ-35 кВ - 1000 А - 1 шт.  </v>
      </c>
      <c r="AB55" s="20">
        <f>IF(AB$2='[2]2 цех result'!$C16,'[2]2 цех_CapEx'!N16,0)</f>
        <v>0</v>
      </c>
      <c r="AC55" s="20">
        <f>IF(AB$2&gt;='[2]2 цех result'!$D16,'[2]2 цех_CapEx'!N16,0)</f>
        <v>0</v>
      </c>
      <c r="AD55" s="20" t="str">
        <f>IF(AB$2&gt;='[2]2 цех result'!$C16,$AK55,"")</f>
        <v xml:space="preserve">Установка СТ 110/35/6 кВ 25000 кВА - 2 шт. (ТДТН-25000/110/35/6 У1 с АРН и РПН) Установка ЭВ -1000 А -  3 шт., ВВ-35 кВ - 1000 А - 6 шт., СВВ-35 кВ - 1000 А - 1 шт.  </v>
      </c>
      <c r="AE55" s="20">
        <f>IF(AE$2='[2]2 цех result'!$C16,'[2]2 цех_CapEx'!O16,0)</f>
        <v>0</v>
      </c>
      <c r="AF55" s="20">
        <f>IF(AE$2&gt;='[2]2 цех result'!$D16,'[2]2 цех_CapEx'!O16,0)</f>
        <v>0</v>
      </c>
      <c r="AG55" s="20" t="str">
        <f>IF(AE$2&gt;='[2]2 цех result'!$C16,$AK55,"")</f>
        <v xml:space="preserve">Установка СТ 110/35/6 кВ 25000 кВА - 2 шт. (ТДТН-25000/110/35/6 У1 с АРН и РПН) Установка ЭВ -1000 А -  3 шт., ВВ-35 кВ - 1000 А - 6 шт., СВВ-35 кВ - 1000 А - 1 шт.  </v>
      </c>
      <c r="AH55" s="20">
        <f>IF(AH$2='[2]2 цех result'!$C16,'[2]2 цех_CapEx'!P16,0)</f>
        <v>0</v>
      </c>
      <c r="AI55" s="20">
        <f>IF(AH$2&gt;='[2]2 цех result'!$D16,'[2]2 цех_CapEx'!P16,0)</f>
        <v>0</v>
      </c>
      <c r="AJ55" s="20" t="str">
        <f>IF(AH$2&gt;='[2]2 цех result'!$C16,$AK55,"")</f>
        <v xml:space="preserve">Установка СТ 110/35/6 кВ 25000 кВА - 2 шт. (ТДТН-25000/110/35/6 У1 с АРН и РПН) Установка ЭВ -1000 А -  3 шт., ВВ-35 кВ - 1000 А - 6 шт., СВВ-35 кВ - 1000 А - 1 шт.  </v>
      </c>
      <c r="AK55" s="12" t="s">
        <v>79</v>
      </c>
      <c r="AL55" s="19"/>
      <c r="AM55" s="71">
        <f t="shared" ref="AM55:AM66" si="3">SUM(D55:AJ55)</f>
        <v>619069.73757130781</v>
      </c>
      <c r="AN55" s="71">
        <f>'[2]2 цех_CapEx'!$V16</f>
        <v>619069.73757130781</v>
      </c>
      <c r="AO55" s="71">
        <f t="shared" ref="AO55:AO66" si="4">AM55-AN55</f>
        <v>0</v>
      </c>
      <c r="AP55" s="276" t="s">
        <v>204</v>
      </c>
      <c r="AQ55" s="277" t="s">
        <v>201</v>
      </c>
    </row>
    <row r="56" spans="1:43" ht="30">
      <c r="A56" s="78">
        <v>45</v>
      </c>
      <c r="B56" s="19" t="str">
        <f>'[2]2 цех_CapEx'!$B17</f>
        <v>ПС 35/6 кВ 1х4000 кВА "Грековская" (КРУН) - II</v>
      </c>
      <c r="C56" s="32">
        <f>'[2]2 цех_CapEx'!$W17</f>
        <v>1</v>
      </c>
      <c r="D56" s="20">
        <f>IF(D$2='[2]2 цех result'!$C17,'[2]2 цех_CapEx'!F17,0)</f>
        <v>0</v>
      </c>
      <c r="E56" s="20">
        <f>IF(D$2&gt;='[2]2 цех result'!$D17,'[2]2 цех_CapEx'!F17,0)</f>
        <v>0</v>
      </c>
      <c r="F56" s="20" t="str">
        <f>IF(D$2&gt;='[2]2 цех result'!$C17,$AK56,"")</f>
        <v/>
      </c>
      <c r="G56" s="20">
        <f>IF(G$2='[2]2 цех result'!$C17,'[2]2 цех_CapEx'!G17,0)</f>
        <v>0</v>
      </c>
      <c r="H56" s="20">
        <f>IF(G$2&gt;='[2]2 цех result'!$D17,'[2]2 цех_CapEx'!G17,0)</f>
        <v>0</v>
      </c>
      <c r="I56" s="20" t="str">
        <f>IF(G$2&gt;='[2]2 цех result'!$C17,$AK56,"")</f>
        <v/>
      </c>
      <c r="J56" s="20">
        <f>IF(J$2='[2]2 цех result'!$C17,'[2]2 цех_CapEx'!H17,0)</f>
        <v>0</v>
      </c>
      <c r="K56" s="20">
        <f>IF(J$2&gt;='[2]2 цех result'!$D17,'[2]2 цех_CapEx'!H17,0)</f>
        <v>0</v>
      </c>
      <c r="L56" s="20" t="str">
        <f>IF(J$2&gt;='[2]2 цех result'!$C17,$AK56,"")</f>
        <v/>
      </c>
      <c r="M56" s="20">
        <f>IF(M$2='[2]2 цех result'!$C17,'[2]2 цех_CapEx'!I17,0)</f>
        <v>0</v>
      </c>
      <c r="N56" s="20">
        <f>IF(M$2&gt;='[2]2 цех result'!$D17,'[2]2 цех_CapEx'!I17,0)</f>
        <v>0</v>
      </c>
      <c r="O56" s="20" t="str">
        <f>IF(M$2&gt;='[2]2 цех result'!$C17,$AK56,"")</f>
        <v/>
      </c>
      <c r="P56" s="36">
        <f>'[2]2 цех result'!$E$17*'[2]2 цех_CapEx'!$J$3/1000</f>
        <v>1361.7762717974424</v>
      </c>
      <c r="Q56" s="36">
        <f>'[2]2 цех_CapEx'!$J$17-P56</f>
        <v>44030.766121450644</v>
      </c>
      <c r="R56" s="20" t="str">
        <f>IF(P$2&gt;='[2]2 цех result'!$C17,$AK56,"")</f>
        <v xml:space="preserve">   Замена ячеек 6 кВ -14 шт.</v>
      </c>
      <c r="S56" s="20">
        <f>IF(S$2='[2]2 цех result'!$C17,'[2]2 цех_CapEx'!K17,0)</f>
        <v>0</v>
      </c>
      <c r="T56" s="20">
        <f>IF(S$2&gt;='[2]2 цех result'!$D17,'[2]2 цех_CapEx'!K17,0)</f>
        <v>0</v>
      </c>
      <c r="U56" s="20" t="str">
        <f>IF(S$2&gt;='[2]2 цех result'!$C17,$AK56,"")</f>
        <v xml:space="preserve">   Замена ячеек 6 кВ -14 шт.</v>
      </c>
      <c r="V56" s="20">
        <f>IF(V$2='[2]2 цех result'!$C17,'[2]2 цех_CapEx'!L17,0)</f>
        <v>0</v>
      </c>
      <c r="W56" s="20">
        <f>IF(V$2&gt;='[2]2 цех result'!$D17,'[2]2 цех_CapEx'!L17,0)</f>
        <v>0</v>
      </c>
      <c r="X56" s="20" t="str">
        <f>IF(V$2&gt;='[2]2 цех result'!$C17,$AK56,"")</f>
        <v xml:space="preserve">   Замена ячеек 6 кВ -14 шт.</v>
      </c>
      <c r="Y56" s="20">
        <f>IF(Y$2='[2]2 цех result'!$C17,'[2]2 цех_CapEx'!M17,0)</f>
        <v>0</v>
      </c>
      <c r="Z56" s="20">
        <f>IF(Y$2&gt;='[2]2 цех result'!$D17,'[2]2 цех_CapEx'!M17,0)</f>
        <v>0</v>
      </c>
      <c r="AA56" s="20" t="str">
        <f>IF(Y$2&gt;='[2]2 цех result'!$C17,$AK56,"")</f>
        <v xml:space="preserve">   Замена ячеек 6 кВ -14 шт.</v>
      </c>
      <c r="AB56" s="20">
        <f>IF(AB$2='[2]2 цех result'!$C17,'[2]2 цех_CapEx'!N17,0)</f>
        <v>0</v>
      </c>
      <c r="AC56" s="20">
        <f>IF(AB$2&gt;='[2]2 цех result'!$D17,'[2]2 цех_CapEx'!N17,0)</f>
        <v>0</v>
      </c>
      <c r="AD56" s="20" t="str">
        <f>IF(AB$2&gt;='[2]2 цех result'!$C17,$AK56,"")</f>
        <v xml:space="preserve">   Замена ячеек 6 кВ -14 шт.</v>
      </c>
      <c r="AE56" s="20">
        <f>IF(AE$2='[2]2 цех result'!$C17,'[2]2 цех_CapEx'!O17,0)</f>
        <v>0</v>
      </c>
      <c r="AF56" s="20">
        <f>IF(AE$2&gt;='[2]2 цех result'!$D17,'[2]2 цех_CapEx'!O17,0)</f>
        <v>0</v>
      </c>
      <c r="AG56" s="20" t="str">
        <f>IF(AE$2&gt;='[2]2 цех result'!$C17,$AK56,"")</f>
        <v xml:space="preserve">   Замена ячеек 6 кВ -14 шт.</v>
      </c>
      <c r="AH56" s="20">
        <f>IF(AH$2='[2]2 цех result'!$C17,'[2]2 цех_CapEx'!P17,0)</f>
        <v>0</v>
      </c>
      <c r="AI56" s="20">
        <f>IF(AH$2&gt;='[2]2 цех result'!$D17,'[2]2 цех_CapEx'!P17,0)</f>
        <v>0</v>
      </c>
      <c r="AJ56" s="20" t="str">
        <f>IF(AH$2&gt;='[2]2 цех result'!$C17,$AK56,"")</f>
        <v xml:space="preserve">   Замена ячеек 6 кВ -14 шт.</v>
      </c>
      <c r="AK56" s="12" t="s">
        <v>80</v>
      </c>
      <c r="AL56" s="19"/>
      <c r="AM56" s="71">
        <f t="shared" si="3"/>
        <v>45392.542393248084</v>
      </c>
      <c r="AN56" s="71">
        <f>'[2]2 цех_CapEx'!$V17</f>
        <v>45392.542393248084</v>
      </c>
      <c r="AO56" s="71">
        <f t="shared" si="4"/>
        <v>0</v>
      </c>
      <c r="AP56" s="276"/>
      <c r="AQ56" s="277"/>
    </row>
    <row r="57" spans="1:43" ht="255">
      <c r="A57" s="78">
        <v>46</v>
      </c>
      <c r="B57" s="19" t="str">
        <f>'[2]2 цех_CapEx'!$B18</f>
        <v>ПС 35/6 кВ 1х4000 кВА "Грековская" (ВЛ и смежные ПС) - II</v>
      </c>
      <c r="C57" s="32">
        <f>'[2]2 цех_CapEx'!$W18</f>
        <v>1</v>
      </c>
      <c r="D57" s="20">
        <f>IF(D$2='[2]2 цех result'!$C18,'[2]2 цех_CapEx'!F18,0)</f>
        <v>0</v>
      </c>
      <c r="E57" s="20">
        <f>IF(D$2&gt;='[2]2 цех result'!$D18,'[2]2 цех_CapEx'!F18,0)</f>
        <v>0</v>
      </c>
      <c r="F57" s="20" t="str">
        <f>IF(D$2&gt;='[2]2 цех result'!$C18,$AK57,"")</f>
        <v/>
      </c>
      <c r="G57" s="20">
        <f>IF(G$2='[2]2 цех result'!$C18,'[2]2 цех_CapEx'!G18,0)</f>
        <v>0</v>
      </c>
      <c r="H57" s="20">
        <f>IF(G$2&gt;='[2]2 цех result'!$D18,'[2]2 цех_CapEx'!G18,0)</f>
        <v>0</v>
      </c>
      <c r="I57" s="20" t="str">
        <f>IF(G$2&gt;='[2]2 цех result'!$C18,$AK57,"")</f>
        <v/>
      </c>
      <c r="J57" s="20">
        <f>IF(J$2='[2]2 цех result'!$C18,'[2]2 цех_CapEx'!H18,0)</f>
        <v>0</v>
      </c>
      <c r="K57" s="20">
        <f>IF(J$2&gt;='[2]2 цех result'!$D18,'[2]2 цех_CapEx'!H18,0)</f>
        <v>0</v>
      </c>
      <c r="L57" s="20" t="str">
        <f>IF(J$2&gt;='[2]2 цех result'!$C18,$AK57,"")</f>
        <v/>
      </c>
      <c r="M57" s="20">
        <f>IF(M$2='[2]2 цех result'!$C18,'[2]2 цех_CapEx'!I18,0)</f>
        <v>0</v>
      </c>
      <c r="N57" s="20">
        <f>IF(M$2&gt;='[2]2 цех result'!$D18,'[2]2 цех_CapEx'!I18,0)</f>
        <v>0</v>
      </c>
      <c r="O57" s="20" t="str">
        <f>IF(M$2&gt;='[2]2 цех result'!$C18,$AK57,"")</f>
        <v/>
      </c>
      <c r="P57" s="36">
        <f>IF(P$2='[2]2 цех result'!$C18,'[2]2 цех_CapEx'!J18,0)</f>
        <v>42819.046069350603</v>
      </c>
      <c r="Q57" s="36">
        <f>IF(P$2&gt;='[2]2 цех result'!$D18,'[2]2 цех_CapEx'!J18,0)</f>
        <v>0</v>
      </c>
      <c r="R57" s="20" t="str">
        <f>IF(P$2&gt;='[2]2 цех result'!$C18,$AK57,"")</f>
        <v xml:space="preserve">
Строительство  двухцепной ВЛ-110 кВ - АС-120 - 2х55 км. 
Строительство ВЛ 35 кВ - АС-95 - 26 км.   
Установка дополнительных блоков ЭВ-110 кВ - 1000 А - 2 шт. для присоединения к ПС Южная (МЭС "Волги").       
 Сооружение РУ 110 кВ по схеме 110-5АН, 
Сооружение РУ 35 кВ по схеме 35-9</v>
      </c>
      <c r="S57" s="20">
        <f>IF(S$2='[2]2 цех result'!$C18,'[2]2 цех_CapEx'!K18,0)</f>
        <v>0</v>
      </c>
      <c r="T57" s="20">
        <f>IF(S$2&gt;='[2]2 цех result'!$D18,'[2]2 цех_CapEx'!K18,0)</f>
        <v>804234.00484948861</v>
      </c>
      <c r="U57" s="20" t="str">
        <f>IF(S$2&gt;='[2]2 цех result'!$C18,$AK57,"")</f>
        <v xml:space="preserve">
Строительство  двухцепной ВЛ-110 кВ - АС-120 - 2х55 км. 
Строительство ВЛ 35 кВ - АС-95 - 26 км.   
Установка дополнительных блоков ЭВ-110 кВ - 1000 А - 2 шт. для присоединения к ПС Южная (МЭС "Волги").       
 Сооружение РУ 110 кВ по схеме 110-5АН, 
Сооружение РУ 35 кВ по схеме 35-9</v>
      </c>
      <c r="V57" s="20">
        <f>IF(V$2='[2]2 цех result'!$C18,'[2]2 цех_CapEx'!L18,0)</f>
        <v>0</v>
      </c>
      <c r="W57" s="20">
        <f>IF(V$2&gt;='[2]2 цех result'!$D18,'[2]2 цех_CapEx'!L18,0)</f>
        <v>0</v>
      </c>
      <c r="X57" s="20" t="str">
        <f>IF(V$2&gt;='[2]2 цех result'!$C18,$AK57,"")</f>
        <v xml:space="preserve">
Строительство  двухцепной ВЛ-110 кВ - АС-120 - 2х55 км. 
Строительство ВЛ 35 кВ - АС-95 - 26 км.   
Установка дополнительных блоков ЭВ-110 кВ - 1000 А - 2 шт. для присоединения к ПС Южная (МЭС "Волги").       
 Сооружение РУ 110 кВ по схеме 110-5АН, 
Сооружение РУ 35 кВ по схеме 35-9</v>
      </c>
      <c r="Y57" s="20">
        <f>IF(Y$2='[2]2 цех result'!$C18,'[2]2 цех_CapEx'!M18,0)</f>
        <v>0</v>
      </c>
      <c r="Z57" s="20">
        <f>IF(Y$2&gt;='[2]2 цех result'!$D18,'[2]2 цех_CapEx'!M18,0)</f>
        <v>0</v>
      </c>
      <c r="AA57" s="20" t="str">
        <f>IF(Y$2&gt;='[2]2 цех result'!$C18,$AK57,"")</f>
        <v xml:space="preserve">
Строительство  двухцепной ВЛ-110 кВ - АС-120 - 2х55 км. 
Строительство ВЛ 35 кВ - АС-95 - 26 км.   
Установка дополнительных блоков ЭВ-110 кВ - 1000 А - 2 шт. для присоединения к ПС Южная (МЭС "Волги").       
 Сооружение РУ 110 кВ по схеме 110-5АН, 
Сооружение РУ 35 кВ по схеме 35-9</v>
      </c>
      <c r="AB57" s="20">
        <f>IF(AB$2='[2]2 цех result'!$C18,'[2]2 цех_CapEx'!N18,0)</f>
        <v>0</v>
      </c>
      <c r="AC57" s="20">
        <f>IF(AB$2&gt;='[2]2 цех result'!$D18,'[2]2 цех_CapEx'!N18,0)</f>
        <v>0</v>
      </c>
      <c r="AD57" s="20" t="str">
        <f>IF(AB$2&gt;='[2]2 цех result'!$C18,$AK57,"")</f>
        <v xml:space="preserve">
Строительство  двухцепной ВЛ-110 кВ - АС-120 - 2х55 км. 
Строительство ВЛ 35 кВ - АС-95 - 26 км.   
Установка дополнительных блоков ЭВ-110 кВ - 1000 А - 2 шт. для присоединения к ПС Южная (МЭС "Волги").       
 Сооружение РУ 110 кВ по схеме 110-5АН, 
Сооружение РУ 35 кВ по схеме 35-9</v>
      </c>
      <c r="AE57" s="20">
        <f>IF(AE$2='[2]2 цех result'!$C18,'[2]2 цех_CapEx'!O18,0)</f>
        <v>0</v>
      </c>
      <c r="AF57" s="20">
        <f>IF(AE$2&gt;='[2]2 цех result'!$D18,'[2]2 цех_CapEx'!O18,0)</f>
        <v>0</v>
      </c>
      <c r="AG57" s="20" t="str">
        <f>IF(AE$2&gt;='[2]2 цех result'!$C18,$AK57,"")</f>
        <v xml:space="preserve">
Строительство  двухцепной ВЛ-110 кВ - АС-120 - 2х55 км. 
Строительство ВЛ 35 кВ - АС-95 - 26 км.   
Установка дополнительных блоков ЭВ-110 кВ - 1000 А - 2 шт. для присоединения к ПС Южная (МЭС "Волги").       
 Сооружение РУ 110 кВ по схеме 110-5АН, 
Сооружение РУ 35 кВ по схеме 35-9</v>
      </c>
      <c r="AH57" s="20">
        <f>IF(AH$2='[2]2 цех result'!$C18,'[2]2 цех_CapEx'!P18,0)</f>
        <v>0</v>
      </c>
      <c r="AI57" s="20">
        <f>IF(AH$2&gt;='[2]2 цех result'!$D18,'[2]2 цех_CapEx'!P18,0)</f>
        <v>0</v>
      </c>
      <c r="AJ57" s="20" t="str">
        <f>IF(AH$2&gt;='[2]2 цех result'!$C18,$AK57,"")</f>
        <v xml:space="preserve">
Строительство  двухцепной ВЛ-110 кВ - АС-120 - 2х55 км. 
Строительство ВЛ 35 кВ - АС-95 - 26 км.   
Установка дополнительных блоков ЭВ-110 кВ - 1000 А - 2 шт. для присоединения к ПС Южная (МЭС "Волги").       
 Сооружение РУ 110 кВ по схеме 110-5АН, 
Сооружение РУ 35 кВ по схеме 35-9</v>
      </c>
      <c r="AK57" s="12" t="s">
        <v>81</v>
      </c>
      <c r="AL57" s="19"/>
      <c r="AM57" s="71">
        <f t="shared" si="3"/>
        <v>847053.05091883917</v>
      </c>
      <c r="AN57" s="71">
        <f>'[2]2 цех_CapEx'!$V18</f>
        <v>847053.05091883917</v>
      </c>
      <c r="AO57" s="71">
        <f t="shared" si="4"/>
        <v>0</v>
      </c>
      <c r="AP57" s="276"/>
      <c r="AQ57" s="277"/>
    </row>
    <row r="58" spans="1:43" ht="60">
      <c r="A58" s="78">
        <v>47</v>
      </c>
      <c r="B58" s="19" t="str">
        <f>'[2]2 цех_CapEx'!$B19</f>
        <v>ПС 35/6 кВ 1х2500 кВА "Кулагинская"</v>
      </c>
      <c r="C58" s="32">
        <f>'[2]2 цех_CapEx'!$W19</f>
        <v>1</v>
      </c>
      <c r="D58" s="20">
        <f>IF(D$2='[2]2 цех result'!$C19,'[2]2 цех_CapEx'!F19,0)</f>
        <v>522.90318000000002</v>
      </c>
      <c r="E58" s="20">
        <f>IF(D$2&gt;='[2]2 цех result'!$D19,'[2]2 цех_CapEx'!F19,0)</f>
        <v>0</v>
      </c>
      <c r="F58" s="20" t="str">
        <f>IF(D$2&gt;='[2]2 цех result'!$C19,$AK58,"")</f>
        <v>Замена Т-1-Т 35/6 кВ с АРН и РПН, тип - ТМН мощностью 4000 - 1 шт.</v>
      </c>
      <c r="G58" s="20">
        <f>IF(G$2='[2]2 цех result'!$C19,'[2]2 цех_CapEx'!G19,0)</f>
        <v>0</v>
      </c>
      <c r="H58" s="20">
        <f>IF(G$2&gt;='[2]2 цех result'!$D19,'[2]2 цех_CapEx'!G19,0)</f>
        <v>0</v>
      </c>
      <c r="I58" s="20" t="str">
        <f>IF(G$2&gt;='[2]2 цех result'!$C19,$AK58,"")</f>
        <v>Замена Т-1-Т 35/6 кВ с АРН и РПН, тип - ТМН мощностью 4000 - 1 шт.</v>
      </c>
      <c r="J58" s="20">
        <f>IF(J$2='[2]2 цех result'!$C19,'[2]2 цех_CapEx'!H19,0)</f>
        <v>0</v>
      </c>
      <c r="K58" s="20">
        <f>IF(J$2&gt;='[2]2 цех result'!$D19,'[2]2 цех_CapEx'!H19,0)</f>
        <v>0</v>
      </c>
      <c r="L58" s="20" t="str">
        <f>IF(J$2&gt;='[2]2 цех result'!$C19,$AK58,"")</f>
        <v>Замена Т-1-Т 35/6 кВ с АРН и РПН, тип - ТМН мощностью 4000 - 1 шт.</v>
      </c>
      <c r="M58" s="20">
        <f>IF(M$2='[2]2 цех result'!$C19,'[2]2 цех_CapEx'!I19,0)</f>
        <v>0</v>
      </c>
      <c r="N58" s="20">
        <f>IF(M$2&gt;='[2]2 цех result'!$D19,'[2]2 цех_CapEx'!I19,0)</f>
        <v>20626.529436484965</v>
      </c>
      <c r="O58" s="20" t="str">
        <f>IF(M$2&gt;='[2]2 цех result'!$C19,$AK58,"")</f>
        <v>Замена Т-1-Т 35/6 кВ с АРН и РПН, тип - ТМН мощностью 4000 - 1 шт.</v>
      </c>
      <c r="P58" s="20">
        <f>IF(P$2='[2]2 цех result'!$C19,'[2]2 цех_CapEx'!J19,0)</f>
        <v>0</v>
      </c>
      <c r="Q58" s="20">
        <f>IF(P$2&gt;='[2]2 цех result'!$D19,'[2]2 цех_CapEx'!J19,0)</f>
        <v>0</v>
      </c>
      <c r="R58" s="20" t="str">
        <f>IF(P$2&gt;='[2]2 цех result'!$C19,$AK58,"")</f>
        <v>Замена Т-1-Т 35/6 кВ с АРН и РПН, тип - ТМН мощностью 4000 - 1 шт.</v>
      </c>
      <c r="S58" s="20">
        <f>IF(S$2='[2]2 цех result'!$C19,'[2]2 цех_CapEx'!K19,0)</f>
        <v>0</v>
      </c>
      <c r="T58" s="20">
        <f>IF(S$2&gt;='[2]2 цех result'!$D19,'[2]2 цех_CapEx'!K19,0)</f>
        <v>0</v>
      </c>
      <c r="U58" s="20" t="str">
        <f>IF(S$2&gt;='[2]2 цех result'!$C19,$AK58,"")</f>
        <v>Замена Т-1-Т 35/6 кВ с АРН и РПН, тип - ТМН мощностью 4000 - 1 шт.</v>
      </c>
      <c r="V58" s="20">
        <f>IF(V$2='[2]2 цех result'!$C19,'[2]2 цех_CapEx'!L19,0)</f>
        <v>0</v>
      </c>
      <c r="W58" s="20">
        <f>IF(V$2&gt;='[2]2 цех result'!$D19,'[2]2 цех_CapEx'!L19,0)</f>
        <v>0</v>
      </c>
      <c r="X58" s="20" t="str">
        <f>IF(V$2&gt;='[2]2 цех result'!$C19,$AK58,"")</f>
        <v>Замена Т-1-Т 35/6 кВ с АРН и РПН, тип - ТМН мощностью 4000 - 1 шт.</v>
      </c>
      <c r="Y58" s="20">
        <f>IF(Y$2='[2]2 цех result'!$C19,'[2]2 цех_CapEx'!M19,0)</f>
        <v>0</v>
      </c>
      <c r="Z58" s="20">
        <f>IF(Y$2&gt;='[2]2 цех result'!$D19,'[2]2 цех_CapEx'!M19,0)</f>
        <v>0</v>
      </c>
      <c r="AA58" s="20" t="str">
        <f>IF(Y$2&gt;='[2]2 цех result'!$C19,$AK58,"")</f>
        <v>Замена Т-1-Т 35/6 кВ с АРН и РПН, тип - ТМН мощностью 4000 - 1 шт.</v>
      </c>
      <c r="AB58" s="20">
        <f>IF(AB$2='[2]2 цех result'!$C19,'[2]2 цех_CapEx'!N19,0)</f>
        <v>0</v>
      </c>
      <c r="AC58" s="20">
        <f>IF(AB$2&gt;='[2]2 цех result'!$D19,'[2]2 цех_CapEx'!N19,0)</f>
        <v>0</v>
      </c>
      <c r="AD58" s="20" t="str">
        <f>IF(AB$2&gt;='[2]2 цех result'!$C19,$AK58,"")</f>
        <v>Замена Т-1-Т 35/6 кВ с АРН и РПН, тип - ТМН мощностью 4000 - 1 шт.</v>
      </c>
      <c r="AE58" s="20">
        <f>IF(AE$2='[2]2 цех result'!$C19,'[2]2 цех_CapEx'!O19,0)</f>
        <v>0</v>
      </c>
      <c r="AF58" s="20">
        <f>IF(AE$2&gt;='[2]2 цех result'!$D19,'[2]2 цех_CapEx'!O19,0)</f>
        <v>0</v>
      </c>
      <c r="AG58" s="20" t="str">
        <f>IF(AE$2&gt;='[2]2 цех result'!$C19,$AK58,"")</f>
        <v>Замена Т-1-Т 35/6 кВ с АРН и РПН, тип - ТМН мощностью 4000 - 1 шт.</v>
      </c>
      <c r="AH58" s="20">
        <f>IF(AH$2='[2]2 цех result'!$C19,'[2]2 цех_CapEx'!P19,0)</f>
        <v>0</v>
      </c>
      <c r="AI58" s="20">
        <f>IF(AH$2&gt;='[2]2 цех result'!$D19,'[2]2 цех_CapEx'!P19,0)</f>
        <v>0</v>
      </c>
      <c r="AJ58" s="20" t="str">
        <f>IF(AH$2&gt;='[2]2 цех result'!$C19,$AK58,"")</f>
        <v>Замена Т-1-Т 35/6 кВ с АРН и РПН, тип - ТМН мощностью 4000 - 1 шт.</v>
      </c>
      <c r="AK58" s="12" t="s">
        <v>82</v>
      </c>
      <c r="AL58" s="19"/>
      <c r="AM58" s="71">
        <f t="shared" si="3"/>
        <v>21149.432616484966</v>
      </c>
      <c r="AN58" s="71">
        <f>'[2]2 цех_CapEx'!$V19</f>
        <v>21149.432616484966</v>
      </c>
      <c r="AO58" s="71">
        <f t="shared" si="4"/>
        <v>0</v>
      </c>
      <c r="AP58" s="63" t="s">
        <v>205</v>
      </c>
      <c r="AQ58" s="79" t="s">
        <v>201</v>
      </c>
    </row>
    <row r="59" spans="1:43" ht="329.25" customHeight="1">
      <c r="A59" s="78">
        <v>48</v>
      </c>
      <c r="B59" s="19" t="str">
        <f>'[2]2 цех_CapEx'!$B20</f>
        <v>ПС 35/6 кВ 2х4000 кВА "Ветлянская"</v>
      </c>
      <c r="C59" s="32">
        <f>'[2]2 цех_CapEx'!$W20</f>
        <v>1</v>
      </c>
      <c r="D59" s="20">
        <f>IF(D$2='[2]2 цех result'!$C20,'[2]2 цех_CapEx'!F20,0)</f>
        <v>442.76484000000005</v>
      </c>
      <c r="E59" s="20">
        <f>IF(D$2&gt;='[2]2 цех result'!$D20,'[2]2 цех_CapEx'!F20,0)</f>
        <v>0</v>
      </c>
      <c r="F59" s="20" t="str">
        <f>IF(D$2&gt;='[2]2 цех result'!$C20,$AK59,"")</f>
        <v>Установка доп. блоков ВВ-35 кВ - 1000 А - 2 шт. Реконструкция(существующая схема ОРУ-35 кВ «35-5АН» - Расширение ОРУ-35 кВ с монтажом: 
- блока Б35-61 с ТН-35 кВ (1 шт.) с ВВ-35 кВ с пружинно-моторным приводом с подключением ВЛ-35 кВ «Ветлянка-3» (ВПО МРСК); - блока Б35-57 (2 шт.) с ВВ-35 кВ с пружинно-моторным приводом для подключения новой одноцепной ВЛ-35 кВ от портала ВЛ-35 кВ «Ветлянка-3» (ОАО «Самаранефтегаз») и подключения существующей ВЛ-35 кВ «Ветлянка-1».</v>
      </c>
      <c r="G59" s="20">
        <f>IF(G$2='[2]2 цех result'!$C20,'[2]2 цех_CapEx'!G20,0)</f>
        <v>0</v>
      </c>
      <c r="H59" s="20">
        <f>IF(G$2&gt;='[2]2 цех result'!$D20,'[2]2 цех_CapEx'!G20,0)</f>
        <v>0</v>
      </c>
      <c r="I59" s="20" t="str">
        <f>IF(G$2&gt;='[2]2 цех result'!$C20,$AK59,"")</f>
        <v>Установка доп. блоков ВВ-35 кВ - 1000 А - 2 шт. Реконструкция(существующая схема ОРУ-35 кВ «35-5АН» - Расширение ОРУ-35 кВ с монтажом: 
- блока Б35-61 с ТН-35 кВ (1 шт.) с ВВ-35 кВ с пружинно-моторным приводом с подключением ВЛ-35 кВ «Ветлянка-3» (ВПО МРСК); - блока Б35-57 (2 шт.) с ВВ-35 кВ с пружинно-моторным приводом для подключения новой одноцепной ВЛ-35 кВ от портала ВЛ-35 кВ «Ветлянка-3» (ОАО «Самаранефтегаз») и подключения существующей ВЛ-35 кВ «Ветлянка-1».</v>
      </c>
      <c r="J59" s="20">
        <f>IF(J$2='[2]2 цех result'!$C20,'[2]2 цех_CapEx'!H20,0)</f>
        <v>0</v>
      </c>
      <c r="K59" s="20">
        <f>IF(J$2&gt;='[2]2 цех result'!$D20,'[2]2 цех_CapEx'!H20,0)</f>
        <v>0</v>
      </c>
      <c r="L59" s="20" t="str">
        <f>IF(J$2&gt;='[2]2 цех result'!$C20,$AK59,"")</f>
        <v>Установка доп. блоков ВВ-35 кВ - 1000 А - 2 шт. Реконструкция(существующая схема ОРУ-35 кВ «35-5АН» - Расширение ОРУ-35 кВ с монтажом: 
- блока Б35-61 с ТН-35 кВ (1 шт.) с ВВ-35 кВ с пружинно-моторным приводом с подключением ВЛ-35 кВ «Ветлянка-3» (ВПО МРСК); - блока Б35-57 (2 шт.) с ВВ-35 кВ с пружинно-моторным приводом для подключения новой одноцепной ВЛ-35 кВ от портала ВЛ-35 кВ «Ветлянка-3» (ОАО «Самаранефтегаз») и подключения существующей ВЛ-35 кВ «Ветлянка-1».</v>
      </c>
      <c r="M59" s="20">
        <f>IF(M$2='[2]2 цех result'!$C20,'[2]2 цех_CapEx'!I20,0)</f>
        <v>0</v>
      </c>
      <c r="N59" s="20">
        <f>IF(M$2&gt;='[2]2 цех result'!$D20,'[2]2 цех_CapEx'!I20,0)</f>
        <v>17465.37859207618</v>
      </c>
      <c r="O59" s="20" t="str">
        <f>IF(M$2&gt;='[2]2 цех result'!$C20,$AK59,"")</f>
        <v>Установка доп. блоков ВВ-35 кВ - 1000 А - 2 шт. Реконструкция(существующая схема ОРУ-35 кВ «35-5АН» - Расширение ОРУ-35 кВ с монтажом: 
- блока Б35-61 с ТН-35 кВ (1 шт.) с ВВ-35 кВ с пружинно-моторным приводом с подключением ВЛ-35 кВ «Ветлянка-3» (ВПО МРСК); - блока Б35-57 (2 шт.) с ВВ-35 кВ с пружинно-моторным приводом для подключения новой одноцепной ВЛ-35 кВ от портала ВЛ-35 кВ «Ветлянка-3» (ОАО «Самаранефтегаз») и подключения существующей ВЛ-35 кВ «Ветлянка-1».</v>
      </c>
      <c r="P59" s="20">
        <f>IF(P$2='[2]2 цех result'!$C20,'[2]2 цех_CapEx'!J20,0)</f>
        <v>0</v>
      </c>
      <c r="Q59" s="20">
        <f>IF(P$2&gt;='[2]2 цех result'!$D20,'[2]2 цех_CapEx'!J20,0)</f>
        <v>0</v>
      </c>
      <c r="R59" s="20" t="str">
        <f>IF(P$2&gt;='[2]2 цех result'!$C20,$AK59,"")</f>
        <v>Установка доп. блоков ВВ-35 кВ - 1000 А - 2 шт. Реконструкция(существующая схема ОРУ-35 кВ «35-5АН» - Расширение ОРУ-35 кВ с монтажом: 
- блока Б35-61 с ТН-35 кВ (1 шт.) с ВВ-35 кВ с пружинно-моторным приводом с подключением ВЛ-35 кВ «Ветлянка-3» (ВПО МРСК); - блока Б35-57 (2 шт.) с ВВ-35 кВ с пружинно-моторным приводом для подключения новой одноцепной ВЛ-35 кВ от портала ВЛ-35 кВ «Ветлянка-3» (ОАО «Самаранефтегаз») и подключения существующей ВЛ-35 кВ «Ветлянка-1».</v>
      </c>
      <c r="S59" s="20">
        <f>IF(S$2='[2]2 цех result'!$C20,'[2]2 цех_CapEx'!K20,0)</f>
        <v>0</v>
      </c>
      <c r="T59" s="20">
        <f>IF(S$2&gt;='[2]2 цех result'!$D20,'[2]2 цех_CapEx'!K20,0)</f>
        <v>0</v>
      </c>
      <c r="U59" s="20" t="str">
        <f>IF(S$2&gt;='[2]2 цех result'!$C20,$AK59,"")</f>
        <v>Установка доп. блоков ВВ-35 кВ - 1000 А - 2 шт. Реконструкция(существующая схема ОРУ-35 кВ «35-5АН» - Расширение ОРУ-35 кВ с монтажом: 
- блока Б35-61 с ТН-35 кВ (1 шт.) с ВВ-35 кВ с пружинно-моторным приводом с подключением ВЛ-35 кВ «Ветлянка-3» (ВПО МРСК); - блока Б35-57 (2 шт.) с ВВ-35 кВ с пружинно-моторным приводом для подключения новой одноцепной ВЛ-35 кВ от портала ВЛ-35 кВ «Ветлянка-3» (ОАО «Самаранефтегаз») и подключения существующей ВЛ-35 кВ «Ветлянка-1».</v>
      </c>
      <c r="V59" s="20">
        <f>IF(V$2='[2]2 цех result'!$C20,'[2]2 цех_CapEx'!L20,0)</f>
        <v>0</v>
      </c>
      <c r="W59" s="20">
        <f>IF(V$2&gt;='[2]2 цех result'!$D20,'[2]2 цех_CapEx'!L20,0)</f>
        <v>0</v>
      </c>
      <c r="X59" s="20" t="str">
        <f>IF(V$2&gt;='[2]2 цех result'!$C20,$AK59,"")</f>
        <v>Установка доп. блоков ВВ-35 кВ - 1000 А - 2 шт. Реконструкция(существующая схема ОРУ-35 кВ «35-5АН» - Расширение ОРУ-35 кВ с монтажом: 
- блока Б35-61 с ТН-35 кВ (1 шт.) с ВВ-35 кВ с пружинно-моторным приводом с подключением ВЛ-35 кВ «Ветлянка-3» (ВПО МРСК); - блока Б35-57 (2 шт.) с ВВ-35 кВ с пружинно-моторным приводом для подключения новой одноцепной ВЛ-35 кВ от портала ВЛ-35 кВ «Ветлянка-3» (ОАО «Самаранефтегаз») и подключения существующей ВЛ-35 кВ «Ветлянка-1».</v>
      </c>
      <c r="Y59" s="20">
        <f>IF(Y$2='[2]2 цех result'!$C20,'[2]2 цех_CapEx'!M20,0)</f>
        <v>0</v>
      </c>
      <c r="Z59" s="20">
        <f>IF(Y$2&gt;='[2]2 цех result'!$D20,'[2]2 цех_CapEx'!M20,0)</f>
        <v>0</v>
      </c>
      <c r="AA59" s="20" t="str">
        <f>IF(Y$2&gt;='[2]2 цех result'!$C20,$AK59,"")</f>
        <v>Установка доп. блоков ВВ-35 кВ - 1000 А - 2 шт. Реконструкция(существующая схема ОРУ-35 кВ «35-5АН» - Расширение ОРУ-35 кВ с монтажом: 
- блока Б35-61 с ТН-35 кВ (1 шт.) с ВВ-35 кВ с пружинно-моторным приводом с подключением ВЛ-35 кВ «Ветлянка-3» (ВПО МРСК); - блока Б35-57 (2 шт.) с ВВ-35 кВ с пружинно-моторным приводом для подключения новой одноцепной ВЛ-35 кВ от портала ВЛ-35 кВ «Ветлянка-3» (ОАО «Самаранефтегаз») и подключения существующей ВЛ-35 кВ «Ветлянка-1».</v>
      </c>
      <c r="AB59" s="20">
        <f>IF(AB$2='[2]2 цех result'!$C20,'[2]2 цех_CapEx'!N20,0)</f>
        <v>0</v>
      </c>
      <c r="AC59" s="20">
        <f>IF(AB$2&gt;='[2]2 цех result'!$D20,'[2]2 цех_CapEx'!N20,0)</f>
        <v>0</v>
      </c>
      <c r="AD59" s="20" t="str">
        <f>IF(AB$2&gt;='[2]2 цех result'!$C20,$AK59,"")</f>
        <v>Установка доп. блоков ВВ-35 кВ - 1000 А - 2 шт. Реконструкция(существующая схема ОРУ-35 кВ «35-5АН» - Расширение ОРУ-35 кВ с монтажом: 
- блока Б35-61 с ТН-35 кВ (1 шт.) с ВВ-35 кВ с пружинно-моторным приводом с подключением ВЛ-35 кВ «Ветлянка-3» (ВПО МРСК); - блока Б35-57 (2 шт.) с ВВ-35 кВ с пружинно-моторным приводом для подключения новой одноцепной ВЛ-35 кВ от портала ВЛ-35 кВ «Ветлянка-3» (ОАО «Самаранефтегаз») и подключения существующей ВЛ-35 кВ «Ветлянка-1».</v>
      </c>
      <c r="AE59" s="20">
        <f>IF(AE$2='[2]2 цех result'!$C20,'[2]2 цех_CapEx'!O20,0)</f>
        <v>0</v>
      </c>
      <c r="AF59" s="20">
        <f>IF(AE$2&gt;='[2]2 цех result'!$D20,'[2]2 цех_CapEx'!O20,0)</f>
        <v>0</v>
      </c>
      <c r="AG59" s="20" t="str">
        <f>IF(AE$2&gt;='[2]2 цех result'!$C20,$AK59,"")</f>
        <v>Установка доп. блоков ВВ-35 кВ - 1000 А - 2 шт. Реконструкция(существующая схема ОРУ-35 кВ «35-5АН» - Расширение ОРУ-35 кВ с монтажом: 
- блока Б35-61 с ТН-35 кВ (1 шт.) с ВВ-35 кВ с пружинно-моторным приводом с подключением ВЛ-35 кВ «Ветлянка-3» (ВПО МРСК); - блока Б35-57 (2 шт.) с ВВ-35 кВ с пружинно-моторным приводом для подключения новой одноцепной ВЛ-35 кВ от портала ВЛ-35 кВ «Ветлянка-3» (ОАО «Самаранефтегаз») и подключения существующей ВЛ-35 кВ «Ветлянка-1».</v>
      </c>
      <c r="AH59" s="20">
        <f>IF(AH$2='[2]2 цех result'!$C20,'[2]2 цех_CapEx'!P20,0)</f>
        <v>0</v>
      </c>
      <c r="AI59" s="20">
        <f>IF(AH$2&gt;='[2]2 цех result'!$D20,'[2]2 цех_CapEx'!P20,0)</f>
        <v>0</v>
      </c>
      <c r="AJ59" s="20" t="str">
        <f>IF(AH$2&gt;='[2]2 цех result'!$C20,$AK59,"")</f>
        <v>Установка доп. блоков ВВ-35 кВ - 1000 А - 2 шт. Реконструкция(существующая схема ОРУ-35 кВ «35-5АН» - Расширение ОРУ-35 кВ с монтажом: 
- блока Б35-61 с ТН-35 кВ (1 шт.) с ВВ-35 кВ с пружинно-моторным приводом с подключением ВЛ-35 кВ «Ветлянка-3» (ВПО МРСК); - блока Б35-57 (2 шт.) с ВВ-35 кВ с пружинно-моторным приводом для подключения новой одноцепной ВЛ-35 кВ от портала ВЛ-35 кВ «Ветлянка-3» (ОАО «Самаранефтегаз») и подключения существующей ВЛ-35 кВ «Ветлянка-1».</v>
      </c>
      <c r="AK59" s="12" t="s">
        <v>83</v>
      </c>
      <c r="AL59" s="19"/>
      <c r="AM59" s="71">
        <f t="shared" si="3"/>
        <v>17908.14343207618</v>
      </c>
      <c r="AN59" s="71">
        <f>'[2]2 цех_CapEx'!$V20</f>
        <v>17908.14343207618</v>
      </c>
      <c r="AO59" s="71">
        <f t="shared" si="4"/>
        <v>0</v>
      </c>
      <c r="AP59" s="62" t="s">
        <v>206</v>
      </c>
      <c r="AQ59" s="79" t="s">
        <v>201</v>
      </c>
    </row>
    <row r="60" spans="1:43" ht="180">
      <c r="A60" s="78">
        <v>49</v>
      </c>
      <c r="B60" s="19" t="str">
        <f>'[2]2 цех_CapEx'!$B21</f>
        <v>ПС 110/35/6 кВ 2х25000 кВА "Бариновская"</v>
      </c>
      <c r="C60" s="32">
        <f>'[2]2 цех_CapEx'!$W21</f>
        <v>1</v>
      </c>
      <c r="D60" s="20">
        <f>IF(D$2='[2]2 цех result'!$C21,'[2]2 цех_CapEx'!F21,0)</f>
        <v>0</v>
      </c>
      <c r="E60" s="20">
        <f>IF(D$2&gt;='[2]2 цех result'!$D21,'[2]2 цех_CapEx'!F21,0)</f>
        <v>0</v>
      </c>
      <c r="F60" s="20" t="str">
        <f>IF(D$2&gt;='[2]2 цех result'!$C21,$AK60,"")</f>
        <v/>
      </c>
      <c r="G60" s="20">
        <f>IF(G$2='[2]2 цех result'!$C21,'[2]2 цех_CapEx'!G21,0)</f>
        <v>0</v>
      </c>
      <c r="H60" s="20">
        <f>IF(G$2&gt;='[2]2 цех result'!$D21,'[2]2 цех_CapEx'!G21,0)</f>
        <v>0</v>
      </c>
      <c r="I60" s="20" t="str">
        <f>IF(G$2&gt;='[2]2 цех result'!$C21,$AK60,"")</f>
        <v/>
      </c>
      <c r="J60" s="20">
        <f>IF(J$2='[2]2 цех result'!$C21,'[2]2 цех_CapEx'!H21,0)</f>
        <v>0</v>
      </c>
      <c r="K60" s="20">
        <f>IF(J$2&gt;='[2]2 цех result'!$D21,'[2]2 цех_CapEx'!H21,0)</f>
        <v>0</v>
      </c>
      <c r="L60" s="20" t="str">
        <f>IF(J$2&gt;='[2]2 цех result'!$C21,$AK60,"")</f>
        <v/>
      </c>
      <c r="M60" s="20">
        <f>IF(M$2='[2]2 цех result'!$C21,'[2]2 цех_CapEx'!I21,0)</f>
        <v>23050.733956478653</v>
      </c>
      <c r="N60" s="20">
        <f>IF(M$2&gt;='[2]2 цех result'!$D21,'[2]2 цех_CapEx'!I21,0)</f>
        <v>0</v>
      </c>
      <c r="O60" s="20" t="str">
        <f>IF(M$2&gt;='[2]2 цех result'!$C21,$AK60,"")</f>
        <v xml:space="preserve"> Замена Т-1-Т, Т-2-Т  25000 кВА - 2 шт. на СТ  мощностью 40000 (32000) кВА ,
 Замена ЭВ-110 кВ 1000 А -2 шт.
 Замена РР-110-2 шт. и  СР-110-2 шт.,
Замена ТТ-110-9 шт. и ТН-110-6 шт. 
Замена ТН-35 - 6 шт.
Установка БСК</v>
      </c>
      <c r="P60" s="20">
        <f>IF(P$2='[2]2 цех result'!$C21,'[2]2 цех_CapEx'!J21,0)</f>
        <v>0</v>
      </c>
      <c r="Q60" s="20">
        <f>IF(P$2&gt;='[2]2 цех result'!$D21,'[2]2 цех_CapEx'!J21,0)</f>
        <v>0</v>
      </c>
      <c r="R60" s="20" t="str">
        <f>IF(P$2&gt;='[2]2 цех result'!$C21,$AK60,"")</f>
        <v xml:space="preserve"> Замена Т-1-Т, Т-2-Т  25000 кВА - 2 шт. на СТ  мощностью 40000 (32000) кВА ,
 Замена ЭВ-110 кВ 1000 А -2 шт.
 Замена РР-110-2 шт. и  СР-110-2 шт.,
Замена ТТ-110-9 шт. и ТН-110-6 шт. 
Замена ТН-35 - 6 шт.
Установка БСК</v>
      </c>
      <c r="S60" s="20">
        <f>IF(S$2='[2]2 цех result'!$C21,'[2]2 цех_CapEx'!K21,0)</f>
        <v>0</v>
      </c>
      <c r="T60" s="20">
        <f>IF(S$2&gt;='[2]2 цех result'!$D21,'[2]2 цех_CapEx'!K21,0)</f>
        <v>404611.60770412575</v>
      </c>
      <c r="U60" s="20" t="str">
        <f>IF(S$2&gt;='[2]2 цех result'!$C21,$AK60,"")</f>
        <v xml:space="preserve"> Замена Т-1-Т, Т-2-Т  25000 кВА - 2 шт. на СТ  мощностью 40000 (32000) кВА ,
 Замена ЭВ-110 кВ 1000 А -2 шт.
 Замена РР-110-2 шт. и  СР-110-2 шт.,
Замена ТТ-110-9 шт. и ТН-110-6 шт. 
Замена ТН-35 - 6 шт.
Установка БСК</v>
      </c>
      <c r="V60" s="20">
        <f>IF(V$2='[2]2 цех result'!$C21,'[2]2 цех_CapEx'!L21,0)</f>
        <v>0</v>
      </c>
      <c r="W60" s="20">
        <f>IF(V$2&gt;='[2]2 цех result'!$D21,'[2]2 цех_CapEx'!L21,0)</f>
        <v>0</v>
      </c>
      <c r="X60" s="20" t="str">
        <f>IF(V$2&gt;='[2]2 цех result'!$C21,$AK60,"")</f>
        <v xml:space="preserve"> Замена Т-1-Т, Т-2-Т  25000 кВА - 2 шт. на СТ  мощностью 40000 (32000) кВА ,
 Замена ЭВ-110 кВ 1000 А -2 шт.
 Замена РР-110-2 шт. и  СР-110-2 шт.,
Замена ТТ-110-9 шт. и ТН-110-6 шт. 
Замена ТН-35 - 6 шт.
Установка БСК</v>
      </c>
      <c r="Y60" s="20">
        <f>IF(Y$2='[2]2 цех result'!$C21,'[2]2 цех_CapEx'!M21,0)</f>
        <v>0</v>
      </c>
      <c r="Z60" s="20">
        <f>IF(Y$2&gt;='[2]2 цех result'!$D21,'[2]2 цех_CapEx'!M21,0)</f>
        <v>0</v>
      </c>
      <c r="AA60" s="20" t="str">
        <f>IF(Y$2&gt;='[2]2 цех result'!$C21,$AK60,"")</f>
        <v xml:space="preserve"> Замена Т-1-Т, Т-2-Т  25000 кВА - 2 шт. на СТ  мощностью 40000 (32000) кВА ,
 Замена ЭВ-110 кВ 1000 А -2 шт.
 Замена РР-110-2 шт. и  СР-110-2 шт.,
Замена ТТ-110-9 шт. и ТН-110-6 шт. 
Замена ТН-35 - 6 шт.
Установка БСК</v>
      </c>
      <c r="AB60" s="20">
        <f>IF(AB$2='[2]2 цех result'!$C21,'[2]2 цех_CapEx'!N21,0)</f>
        <v>0</v>
      </c>
      <c r="AC60" s="20">
        <f>IF(AB$2&gt;='[2]2 цех result'!$D21,'[2]2 цех_CapEx'!N21,0)</f>
        <v>0</v>
      </c>
      <c r="AD60" s="20" t="str">
        <f>IF(AB$2&gt;='[2]2 цех result'!$C21,$AK60,"")</f>
        <v xml:space="preserve"> Замена Т-1-Т, Т-2-Т  25000 кВА - 2 шт. на СТ  мощностью 40000 (32000) кВА ,
 Замена ЭВ-110 кВ 1000 А -2 шт.
 Замена РР-110-2 шт. и  СР-110-2 шт.,
Замена ТТ-110-9 шт. и ТН-110-6 шт. 
Замена ТН-35 - 6 шт.
Установка БСК</v>
      </c>
      <c r="AE60" s="20">
        <f>IF(AE$2='[2]2 цех result'!$C21,'[2]2 цех_CapEx'!O21,0)</f>
        <v>0</v>
      </c>
      <c r="AF60" s="20">
        <f>IF(AE$2&gt;='[2]2 цех result'!$D21,'[2]2 цех_CapEx'!O21,0)</f>
        <v>0</v>
      </c>
      <c r="AG60" s="20" t="str">
        <f>IF(AE$2&gt;='[2]2 цех result'!$C21,$AK60,"")</f>
        <v xml:space="preserve"> Замена Т-1-Т, Т-2-Т  25000 кВА - 2 шт. на СТ  мощностью 40000 (32000) кВА ,
 Замена ЭВ-110 кВ 1000 А -2 шт.
 Замена РР-110-2 шт. и  СР-110-2 шт.,
Замена ТТ-110-9 шт. и ТН-110-6 шт. 
Замена ТН-35 - 6 шт.
Установка БСК</v>
      </c>
      <c r="AH60" s="20">
        <f>IF(AH$2='[2]2 цех result'!$C21,'[2]2 цех_CapEx'!P21,0)</f>
        <v>0</v>
      </c>
      <c r="AI60" s="20">
        <f>IF(AH$2&gt;='[2]2 цех result'!$D21,'[2]2 цех_CapEx'!P21,0)</f>
        <v>0</v>
      </c>
      <c r="AJ60" s="20" t="str">
        <f>IF(AH$2&gt;='[2]2 цех result'!$C21,$AK60,"")</f>
        <v xml:space="preserve"> Замена Т-1-Т, Т-2-Т  25000 кВА - 2 шт. на СТ  мощностью 40000 (32000) кВА ,
 Замена ЭВ-110 кВ 1000 А -2 шт.
 Замена РР-110-2 шт. и  СР-110-2 шт.,
Замена ТТ-110-9 шт. и ТН-110-6 шт. 
Замена ТН-35 - 6 шт.
Установка БСК</v>
      </c>
      <c r="AK60" s="12" t="s">
        <v>84</v>
      </c>
      <c r="AL60" s="19"/>
      <c r="AM60" s="71">
        <f t="shared" si="3"/>
        <v>427662.3416606044</v>
      </c>
      <c r="AN60" s="71">
        <f>'[2]2 цех_CapEx'!$V21</f>
        <v>427662.3416606044</v>
      </c>
      <c r="AO60" s="71">
        <f t="shared" si="4"/>
        <v>0</v>
      </c>
      <c r="AP60" s="55" t="s">
        <v>207</v>
      </c>
      <c r="AQ60" s="79" t="s">
        <v>201</v>
      </c>
    </row>
    <row r="61" spans="1:43" ht="165">
      <c r="A61" s="78">
        <v>50</v>
      </c>
      <c r="B61" s="19" t="str">
        <f>'[2]2 цех_CapEx'!$B22</f>
        <v>ПС 35/6 кВ 1х4000 кВА "Утевская"</v>
      </c>
      <c r="C61" s="32">
        <f>'[2]2 цех_CapEx'!$W22</f>
        <v>1</v>
      </c>
      <c r="D61" s="20">
        <f>IF(D$2='[2]2 цех result'!$C22,'[2]2 цех_CapEx'!F22,0)</f>
        <v>0</v>
      </c>
      <c r="E61" s="20">
        <f>IF(D$2&gt;='[2]2 цех result'!$D22,'[2]2 цех_CapEx'!F22,0)</f>
        <v>0</v>
      </c>
      <c r="F61" s="20" t="str">
        <f>IF(D$2&gt;='[2]2 цех result'!$C22,$AK61,"")</f>
        <v/>
      </c>
      <c r="G61" s="20">
        <f>IF(G$2='[2]2 цех result'!$C22,'[2]2 цех_CapEx'!G22,0)</f>
        <v>0</v>
      </c>
      <c r="H61" s="20">
        <f>IF(G$2&gt;='[2]2 цех result'!$D22,'[2]2 цех_CapEx'!G22,0)</f>
        <v>0</v>
      </c>
      <c r="I61" s="20" t="str">
        <f>IF(G$2&gt;='[2]2 цех result'!$C22,$AK61,"")</f>
        <v/>
      </c>
      <c r="J61" s="20">
        <f>IF(J$2='[2]2 цех result'!$C22,'[2]2 цех_CapEx'!H22,0)</f>
        <v>0</v>
      </c>
      <c r="K61" s="20">
        <f>IF(J$2&gt;='[2]2 цех result'!$D22,'[2]2 цех_CapEx'!H22,0)</f>
        <v>0</v>
      </c>
      <c r="L61" s="20" t="str">
        <f>IF(J$2&gt;='[2]2 цех result'!$C22,$AK61,"")</f>
        <v/>
      </c>
      <c r="M61" s="20">
        <f>IF(M$2='[2]2 цех result'!$C22,'[2]2 цех_CapEx'!I22,0)</f>
        <v>2204.2960730862083</v>
      </c>
      <c r="N61" s="20">
        <f>IF(M$2&gt;='[2]2 цех result'!$D22,'[2]2 цех_CapEx'!I22,0)</f>
        <v>0</v>
      </c>
      <c r="O61" s="20" t="str">
        <f>IF(M$2&gt;='[2]2 цех result'!$C22,$AK61,"")</f>
        <v>Установка 2-го СТ: Т-2-Т мощностью 4000 кВА
Строительство 2 секции 35 и 6 кВ -   1 шт.
Установка ВВ 35 кВ - 1000 А - 2 шт.
Установка дополнительных ячеек КРУН 6 кВ - 12 шт.</v>
      </c>
      <c r="P61" s="20">
        <f>IF(P$2='[2]2 цех result'!$C22,'[2]2 цех_CapEx'!J22,0)</f>
        <v>0</v>
      </c>
      <c r="Q61" s="20">
        <f>IF(P$2&gt;='[2]2 цех result'!$D22,'[2]2 цех_CapEx'!J22,0)</f>
        <v>0</v>
      </c>
      <c r="R61" s="20" t="str">
        <f>IF(P$2&gt;='[2]2 цех result'!$C22,$AK61,"")</f>
        <v>Установка 2-го СТ: Т-2-Т мощностью 4000 кВА
Строительство 2 секции 35 и 6 кВ -   1 шт.
Установка ВВ 35 кВ - 1000 А - 2 шт.
Установка дополнительных ячеек КРУН 6 кВ - 12 шт.</v>
      </c>
      <c r="S61" s="20">
        <f>IF(S$2='[2]2 цех result'!$C22,'[2]2 цех_CapEx'!K22,0)</f>
        <v>0</v>
      </c>
      <c r="T61" s="20">
        <f>IF(S$2&gt;='[2]2 цех result'!$D22,'[2]2 цех_CapEx'!K22,0)</f>
        <v>79854.130078304108</v>
      </c>
      <c r="U61" s="20" t="str">
        <f>IF(S$2&gt;='[2]2 цех result'!$C22,$AK61,"")</f>
        <v>Установка 2-го СТ: Т-2-Т мощностью 4000 кВА
Строительство 2 секции 35 и 6 кВ -   1 шт.
Установка ВВ 35 кВ - 1000 А - 2 шт.
Установка дополнительных ячеек КРУН 6 кВ - 12 шт.</v>
      </c>
      <c r="V61" s="20">
        <f>IF(V$2='[2]2 цех result'!$C22,'[2]2 цех_CapEx'!L22,0)</f>
        <v>0</v>
      </c>
      <c r="W61" s="20">
        <f>IF(V$2&gt;='[2]2 цех result'!$D22,'[2]2 цех_CapEx'!L22,0)</f>
        <v>0</v>
      </c>
      <c r="X61" s="20" t="str">
        <f>IF(V$2&gt;='[2]2 цех result'!$C22,$AK61,"")</f>
        <v>Установка 2-го СТ: Т-2-Т мощностью 4000 кВА
Строительство 2 секции 35 и 6 кВ -   1 шт.
Установка ВВ 35 кВ - 1000 А - 2 шт.
Установка дополнительных ячеек КРУН 6 кВ - 12 шт.</v>
      </c>
      <c r="Y61" s="20">
        <f>IF(Y$2='[2]2 цех result'!$C22,'[2]2 цех_CapEx'!M22,0)</f>
        <v>0</v>
      </c>
      <c r="Z61" s="20">
        <f>IF(Y$2&gt;='[2]2 цех result'!$D22,'[2]2 цех_CapEx'!M22,0)</f>
        <v>0</v>
      </c>
      <c r="AA61" s="20" t="str">
        <f>IF(Y$2&gt;='[2]2 цех result'!$C22,$AK61,"")</f>
        <v>Установка 2-го СТ: Т-2-Т мощностью 4000 кВА
Строительство 2 секции 35 и 6 кВ -   1 шт.
Установка ВВ 35 кВ - 1000 А - 2 шт.
Установка дополнительных ячеек КРУН 6 кВ - 12 шт.</v>
      </c>
      <c r="AB61" s="20">
        <f>IF(AB$2='[2]2 цех result'!$C22,'[2]2 цех_CapEx'!N22,0)</f>
        <v>0</v>
      </c>
      <c r="AC61" s="20">
        <f>IF(AB$2&gt;='[2]2 цех result'!$D22,'[2]2 цех_CapEx'!N22,0)</f>
        <v>0</v>
      </c>
      <c r="AD61" s="20" t="str">
        <f>IF(AB$2&gt;='[2]2 цех result'!$C22,$AK61,"")</f>
        <v>Установка 2-го СТ: Т-2-Т мощностью 4000 кВА
Строительство 2 секции 35 и 6 кВ -   1 шт.
Установка ВВ 35 кВ - 1000 А - 2 шт.
Установка дополнительных ячеек КРУН 6 кВ - 12 шт.</v>
      </c>
      <c r="AE61" s="20">
        <f>IF(AE$2='[2]2 цех result'!$C22,'[2]2 цех_CapEx'!O22,0)</f>
        <v>0</v>
      </c>
      <c r="AF61" s="20">
        <f>IF(AE$2&gt;='[2]2 цех result'!$D22,'[2]2 цех_CapEx'!O22,0)</f>
        <v>0</v>
      </c>
      <c r="AG61" s="20" t="str">
        <f>IF(AE$2&gt;='[2]2 цех result'!$C22,$AK61,"")</f>
        <v>Установка 2-го СТ: Т-2-Т мощностью 4000 кВА
Строительство 2 секции 35 и 6 кВ -   1 шт.
Установка ВВ 35 кВ - 1000 А - 2 шт.
Установка дополнительных ячеек КРУН 6 кВ - 12 шт.</v>
      </c>
      <c r="AH61" s="20">
        <f>IF(AH$2='[2]2 цех result'!$C22,'[2]2 цех_CapEx'!P22,0)</f>
        <v>0</v>
      </c>
      <c r="AI61" s="20">
        <f>IF(AH$2&gt;='[2]2 цех result'!$D22,'[2]2 цех_CapEx'!P22,0)</f>
        <v>0</v>
      </c>
      <c r="AJ61" s="20" t="str">
        <f>IF(AH$2&gt;='[2]2 цех result'!$C22,$AK61,"")</f>
        <v>Установка 2-го СТ: Т-2-Т мощностью 4000 кВА
Строительство 2 секции 35 и 6 кВ -   1 шт.
Установка ВВ 35 кВ - 1000 А - 2 шт.
Установка дополнительных ячеек КРУН 6 кВ - 12 шт.</v>
      </c>
      <c r="AK61" s="12" t="s">
        <v>85</v>
      </c>
      <c r="AL61" s="19"/>
      <c r="AM61" s="71">
        <f t="shared" si="3"/>
        <v>82058.426151390318</v>
      </c>
      <c r="AN61" s="71">
        <f>'[2]2 цех_CapEx'!$V22</f>
        <v>82058.426151390318</v>
      </c>
      <c r="AO61" s="71">
        <f t="shared" si="4"/>
        <v>0</v>
      </c>
      <c r="AP61" s="62" t="s">
        <v>208</v>
      </c>
      <c r="AQ61" s="79" t="s">
        <v>201</v>
      </c>
    </row>
    <row r="62" spans="1:43" ht="150">
      <c r="A62" s="78">
        <v>51</v>
      </c>
      <c r="B62" s="19" t="str">
        <f>'[2]2 цех_CapEx'!$B23</f>
        <v>ПС 35/6 кВ 2х4000 кВА "Промысловая"</v>
      </c>
      <c r="C62" s="32">
        <f>'[2]2 цех_CapEx'!$W23</f>
        <v>1</v>
      </c>
      <c r="D62" s="20">
        <f>IF(D$2='[2]2 цех result'!$C23,'[2]2 цех_CapEx'!F23,0)</f>
        <v>0</v>
      </c>
      <c r="E62" s="20">
        <f>IF(D$2&gt;='[2]2 цех result'!$D23,'[2]2 цех_CapEx'!F23,0)</f>
        <v>0</v>
      </c>
      <c r="F62" s="20" t="str">
        <f>IF(D$2&gt;='[2]2 цех result'!$C23,$AK62,"")</f>
        <v/>
      </c>
      <c r="G62" s="20">
        <f>IF(G$2='[2]2 цех result'!$C23,'[2]2 цех_CapEx'!G23,0)</f>
        <v>0</v>
      </c>
      <c r="H62" s="20">
        <f>IF(G$2&gt;='[2]2 цех result'!$D23,'[2]2 цех_CapEx'!G23,0)</f>
        <v>0</v>
      </c>
      <c r="I62" s="20" t="str">
        <f>IF(G$2&gt;='[2]2 цех result'!$C23,$AK62,"")</f>
        <v/>
      </c>
      <c r="J62" s="20">
        <f>IF(J$2='[2]2 цех result'!$C23,'[2]2 цех_CapEx'!H23,0)</f>
        <v>0</v>
      </c>
      <c r="K62" s="20">
        <f>IF(J$2&gt;='[2]2 цех result'!$D23,'[2]2 цех_CapEx'!H23,0)</f>
        <v>0</v>
      </c>
      <c r="L62" s="20" t="str">
        <f>IF(J$2&gt;='[2]2 цех result'!$C23,$AK62,"")</f>
        <v/>
      </c>
      <c r="M62" s="20">
        <f>IF(M$2='[2]2 цех result'!$C23,'[2]2 цех_CapEx'!I23,0)</f>
        <v>4514.854451805968</v>
      </c>
      <c r="N62" s="20">
        <f>IF(M$2&gt;='[2]2 цех result'!$D23,'[2]2 цех_CapEx'!I23,0)</f>
        <v>0</v>
      </c>
      <c r="O62" s="20" t="str">
        <f>IF(M$2&gt;='[2]2 цех result'!$C23,$AK62,"")</f>
        <v xml:space="preserve">Замена: 
Блок СВВ-35 кВ - 1 шт.
Блок ВВ-35 кВ - 3 шт.
КРУН-6 кВ - 20 ячеек
Строительство ВЛ 35 кВ - АС-95 - 5 км
Установка ВВ 35 кВ - 1000 А - 1 шт.
Монтаж АВР 6кВ </v>
      </c>
      <c r="P62" s="20">
        <f>IF(P$2='[2]2 цех result'!$C23,'[2]2 цех_CapEx'!J23,0)</f>
        <v>0</v>
      </c>
      <c r="Q62" s="20">
        <f>IF(P$2&gt;='[2]2 цех result'!$D23,'[2]2 цех_CapEx'!J23,0)</f>
        <v>0</v>
      </c>
      <c r="R62" s="20" t="str">
        <f>IF(P$2&gt;='[2]2 цех result'!$C23,$AK62,"")</f>
        <v xml:space="preserve">Замена: 
Блок СВВ-35 кВ - 1 шт.
Блок ВВ-35 кВ - 3 шт.
КРУН-6 кВ - 20 ячеек
Строительство ВЛ 35 кВ - АС-95 - 5 км
Установка ВВ 35 кВ - 1000 А - 1 шт.
Монтаж АВР 6кВ </v>
      </c>
      <c r="S62" s="20">
        <f>IF(S$2='[2]2 цех result'!$C23,'[2]2 цех_CapEx'!K23,0)</f>
        <v>0</v>
      </c>
      <c r="T62" s="20">
        <f>IF(S$2&gt;='[2]2 цех result'!$D23,'[2]2 цех_CapEx'!K23,0)</f>
        <v>133757.06407775349</v>
      </c>
      <c r="U62" s="20" t="str">
        <f>IF(S$2&gt;='[2]2 цех result'!$C23,$AK62,"")</f>
        <v xml:space="preserve">Замена: 
Блок СВВ-35 кВ - 1 шт.
Блок ВВ-35 кВ - 3 шт.
КРУН-6 кВ - 20 ячеек
Строительство ВЛ 35 кВ - АС-95 - 5 км
Установка ВВ 35 кВ - 1000 А - 1 шт.
Монтаж АВР 6кВ </v>
      </c>
      <c r="V62" s="20">
        <f>IF(V$2='[2]2 цех result'!$C23,'[2]2 цех_CapEx'!L23,0)</f>
        <v>0</v>
      </c>
      <c r="W62" s="20">
        <f>IF(V$2&gt;='[2]2 цех result'!$D23,'[2]2 цех_CapEx'!L23,0)</f>
        <v>0</v>
      </c>
      <c r="X62" s="20" t="str">
        <f>IF(V$2&gt;='[2]2 цех result'!$C23,$AK62,"")</f>
        <v xml:space="preserve">Замена: 
Блок СВВ-35 кВ - 1 шт.
Блок ВВ-35 кВ - 3 шт.
КРУН-6 кВ - 20 ячеек
Строительство ВЛ 35 кВ - АС-95 - 5 км
Установка ВВ 35 кВ - 1000 А - 1 шт.
Монтаж АВР 6кВ </v>
      </c>
      <c r="Y62" s="20">
        <f>IF(Y$2='[2]2 цех result'!$C23,'[2]2 цех_CapEx'!M23,0)</f>
        <v>0</v>
      </c>
      <c r="Z62" s="20">
        <f>IF(Y$2&gt;='[2]2 цех result'!$D23,'[2]2 цех_CapEx'!M23,0)</f>
        <v>0</v>
      </c>
      <c r="AA62" s="20" t="str">
        <f>IF(Y$2&gt;='[2]2 цех result'!$C23,$AK62,"")</f>
        <v xml:space="preserve">Замена: 
Блок СВВ-35 кВ - 1 шт.
Блок ВВ-35 кВ - 3 шт.
КРУН-6 кВ - 20 ячеек
Строительство ВЛ 35 кВ - АС-95 - 5 км
Установка ВВ 35 кВ - 1000 А - 1 шт.
Монтаж АВР 6кВ </v>
      </c>
      <c r="AB62" s="20">
        <f>IF(AB$2='[2]2 цех result'!$C23,'[2]2 цех_CapEx'!N23,0)</f>
        <v>0</v>
      </c>
      <c r="AC62" s="20">
        <f>IF(AB$2&gt;='[2]2 цех result'!$D23,'[2]2 цех_CapEx'!N23,0)</f>
        <v>0</v>
      </c>
      <c r="AD62" s="20" t="str">
        <f>IF(AB$2&gt;='[2]2 цех result'!$C23,$AK62,"")</f>
        <v xml:space="preserve">Замена: 
Блок СВВ-35 кВ - 1 шт.
Блок ВВ-35 кВ - 3 шт.
КРУН-6 кВ - 20 ячеек
Строительство ВЛ 35 кВ - АС-95 - 5 км
Установка ВВ 35 кВ - 1000 А - 1 шт.
Монтаж АВР 6кВ </v>
      </c>
      <c r="AE62" s="20">
        <f>IF(AE$2='[2]2 цех result'!$C23,'[2]2 цех_CapEx'!O23,0)</f>
        <v>0</v>
      </c>
      <c r="AF62" s="20">
        <f>IF(AE$2&gt;='[2]2 цех result'!$D23,'[2]2 цех_CapEx'!O23,0)</f>
        <v>0</v>
      </c>
      <c r="AG62" s="20" t="str">
        <f>IF(AE$2&gt;='[2]2 цех result'!$C23,$AK62,"")</f>
        <v xml:space="preserve">Замена: 
Блок СВВ-35 кВ - 1 шт.
Блок ВВ-35 кВ - 3 шт.
КРУН-6 кВ - 20 ячеек
Строительство ВЛ 35 кВ - АС-95 - 5 км
Установка ВВ 35 кВ - 1000 А - 1 шт.
Монтаж АВР 6кВ </v>
      </c>
      <c r="AH62" s="20">
        <f>IF(AH$2='[2]2 цех result'!$C23,'[2]2 цех_CapEx'!P23,0)</f>
        <v>0</v>
      </c>
      <c r="AI62" s="20">
        <f>IF(AH$2&gt;='[2]2 цех result'!$D23,'[2]2 цех_CapEx'!P23,0)</f>
        <v>0</v>
      </c>
      <c r="AJ62" s="20" t="str">
        <f>IF(AH$2&gt;='[2]2 цех result'!$C23,$AK62,"")</f>
        <v xml:space="preserve">Замена: 
Блок СВВ-35 кВ - 1 шт.
Блок ВВ-35 кВ - 3 шт.
КРУН-6 кВ - 20 ячеек
Строительство ВЛ 35 кВ - АС-95 - 5 км
Установка ВВ 35 кВ - 1000 А - 1 шт.
Монтаж АВР 6кВ </v>
      </c>
      <c r="AK62" s="12" t="s">
        <v>86</v>
      </c>
      <c r="AL62" s="19"/>
      <c r="AM62" s="71">
        <f t="shared" si="3"/>
        <v>138271.91852955945</v>
      </c>
      <c r="AN62" s="71">
        <f>'[2]2 цех_CapEx'!$V23</f>
        <v>138271.91852955945</v>
      </c>
      <c r="AO62" s="71">
        <f t="shared" si="4"/>
        <v>0</v>
      </c>
      <c r="AP62" s="62" t="s">
        <v>223</v>
      </c>
      <c r="AQ62" s="79" t="s">
        <v>201</v>
      </c>
    </row>
    <row r="63" spans="1:43" ht="195">
      <c r="A63" s="78">
        <v>52</v>
      </c>
      <c r="B63" s="19" t="str">
        <f>'[2]2 цех_CapEx'!$B24</f>
        <v>ПС 35/6 кВ 1х4000 кВА "Гагаринская"</v>
      </c>
      <c r="C63" s="32">
        <f>'[2]2 цех_CapEx'!$W24</f>
        <v>1</v>
      </c>
      <c r="D63" s="20">
        <f>IF(D$2='[2]2 цех result'!$C24,'[2]2 цех_CapEx'!F24,0)</f>
        <v>0</v>
      </c>
      <c r="E63" s="20">
        <f>IF(D$2&gt;='[2]2 цех result'!$D24,'[2]2 цех_CapEx'!F24,0)</f>
        <v>0</v>
      </c>
      <c r="F63" s="20" t="str">
        <f>IF(D$2&gt;='[2]2 цех result'!$C24,$AK63,"")</f>
        <v/>
      </c>
      <c r="G63" s="20">
        <f>IF(G$2='[2]2 цех result'!$C24,'[2]2 цех_CapEx'!G24,0)</f>
        <v>0</v>
      </c>
      <c r="H63" s="20">
        <f>IF(G$2&gt;='[2]2 цех result'!$D24,'[2]2 цех_CapEx'!G24,0)</f>
        <v>0</v>
      </c>
      <c r="I63" s="20" t="str">
        <f>IF(G$2&gt;='[2]2 цех result'!$C24,$AK63,"")</f>
        <v/>
      </c>
      <c r="J63" s="20">
        <f>IF(J$2='[2]2 цех result'!$C24,'[2]2 цех_CapEx'!H24,0)</f>
        <v>0</v>
      </c>
      <c r="K63" s="20">
        <f>IF(J$2&gt;='[2]2 цех result'!$D24,'[2]2 цех_CapEx'!H24,0)</f>
        <v>0</v>
      </c>
      <c r="L63" s="20" t="str">
        <f>IF(J$2&gt;='[2]2 цех result'!$C24,$AK63,"")</f>
        <v/>
      </c>
      <c r="M63" s="20">
        <f>IF(M$2='[2]2 цех result'!$C24,'[2]2 цех_CapEx'!I24,0)</f>
        <v>0</v>
      </c>
      <c r="N63" s="20">
        <f>IF(M$2&gt;='[2]2 цех result'!$D24,'[2]2 цех_CapEx'!I24,0)</f>
        <v>0</v>
      </c>
      <c r="O63" s="20" t="str">
        <f>IF(M$2&gt;='[2]2 цех result'!$C24,$AK63,"")</f>
        <v/>
      </c>
      <c r="P63" s="20">
        <f>IF(P$2='[2]2 цех result'!$C24,'[2]2 цех_CapEx'!J24,0)</f>
        <v>2240.7355641705844</v>
      </c>
      <c r="Q63" s="20">
        <f>IF(P$2&gt;='[2]2 цех result'!$D24,'[2]2 цех_CapEx'!J24,0)</f>
        <v>0</v>
      </c>
      <c r="R63" s="20" t="str">
        <f>IF(P$2&gt;='[2]2 цех result'!$C24,$AK63,"")</f>
        <v>Установка 2-го СТ: Т-2-Т мощностью 4000 кВА
Строительство 2-й секции 35 и 6 кВ -  1 шт.
Установка ВВ 35 кВ - 1000 А - 2 шт.
Установка дополнительных ячеек КРУН 6 кВ - 4 шт.
Строительство ВЛ 35 кВ - АС-95 - 2 км.</v>
      </c>
      <c r="S63" s="20">
        <f>IF(S$2='[2]2 цех result'!$C24,'[2]2 цех_CapEx'!K24,0)</f>
        <v>0</v>
      </c>
      <c r="T63" s="20">
        <f>IF(S$2&gt;='[2]2 цех result'!$D24,'[2]2 цех_CapEx'!K24,0)</f>
        <v>64514.937830133793</v>
      </c>
      <c r="U63" s="20" t="str">
        <f>IF(S$2&gt;='[2]2 цех result'!$C24,$AK63,"")</f>
        <v>Установка 2-го СТ: Т-2-Т мощностью 4000 кВА
Строительство 2-й секции 35 и 6 кВ -  1 шт.
Установка ВВ 35 кВ - 1000 А - 2 шт.
Установка дополнительных ячеек КРУН 6 кВ - 4 шт.
Строительство ВЛ 35 кВ - АС-95 - 2 км.</v>
      </c>
      <c r="V63" s="20">
        <f>IF(V$2='[2]2 цех result'!$C24,'[2]2 цех_CapEx'!L24,0)</f>
        <v>0</v>
      </c>
      <c r="W63" s="20">
        <f>IF(V$2&gt;='[2]2 цех result'!$D24,'[2]2 цех_CapEx'!L24,0)</f>
        <v>0</v>
      </c>
      <c r="X63" s="20" t="str">
        <f>IF(V$2&gt;='[2]2 цех result'!$C24,$AK63,"")</f>
        <v>Установка 2-го СТ: Т-2-Т мощностью 4000 кВА
Строительство 2-й секции 35 и 6 кВ -  1 шт.
Установка ВВ 35 кВ - 1000 А - 2 шт.
Установка дополнительных ячеек КРУН 6 кВ - 4 шт.
Строительство ВЛ 35 кВ - АС-95 - 2 км.</v>
      </c>
      <c r="Y63" s="20">
        <f>IF(Y$2='[2]2 цех result'!$C24,'[2]2 цех_CapEx'!M24,0)</f>
        <v>0</v>
      </c>
      <c r="Z63" s="20">
        <f>IF(Y$2&gt;='[2]2 цех result'!$D24,'[2]2 цех_CapEx'!M24,0)</f>
        <v>0</v>
      </c>
      <c r="AA63" s="20" t="str">
        <f>IF(Y$2&gt;='[2]2 цех result'!$C24,$AK63,"")</f>
        <v>Установка 2-го СТ: Т-2-Т мощностью 4000 кВА
Строительство 2-й секции 35 и 6 кВ -  1 шт.
Установка ВВ 35 кВ - 1000 А - 2 шт.
Установка дополнительных ячеек КРУН 6 кВ - 4 шт.
Строительство ВЛ 35 кВ - АС-95 - 2 км.</v>
      </c>
      <c r="AB63" s="20">
        <f>IF(AB$2='[2]2 цех result'!$C24,'[2]2 цех_CapEx'!N24,0)</f>
        <v>0</v>
      </c>
      <c r="AC63" s="20">
        <f>IF(AB$2&gt;='[2]2 цех result'!$D24,'[2]2 цех_CapEx'!N24,0)</f>
        <v>0</v>
      </c>
      <c r="AD63" s="20" t="str">
        <f>IF(AB$2&gt;='[2]2 цех result'!$C24,$AK63,"")</f>
        <v>Установка 2-го СТ: Т-2-Т мощностью 4000 кВА
Строительство 2-й секции 35 и 6 кВ -  1 шт.
Установка ВВ 35 кВ - 1000 А - 2 шт.
Установка дополнительных ячеек КРУН 6 кВ - 4 шт.
Строительство ВЛ 35 кВ - АС-95 - 2 км.</v>
      </c>
      <c r="AE63" s="20">
        <f>IF(AE$2='[2]2 цех result'!$C24,'[2]2 цех_CapEx'!O24,0)</f>
        <v>0</v>
      </c>
      <c r="AF63" s="20">
        <f>IF(AE$2&gt;='[2]2 цех result'!$D24,'[2]2 цех_CapEx'!O24,0)</f>
        <v>0</v>
      </c>
      <c r="AG63" s="20" t="str">
        <f>IF(AE$2&gt;='[2]2 цех result'!$C24,$AK63,"")</f>
        <v>Установка 2-го СТ: Т-2-Т мощностью 4000 кВА
Строительство 2-й секции 35 и 6 кВ -  1 шт.
Установка ВВ 35 кВ - 1000 А - 2 шт.
Установка дополнительных ячеек КРУН 6 кВ - 4 шт.
Строительство ВЛ 35 кВ - АС-95 - 2 км.</v>
      </c>
      <c r="AH63" s="20">
        <f>IF(AH$2='[2]2 цех result'!$C24,'[2]2 цех_CapEx'!P24,0)</f>
        <v>0</v>
      </c>
      <c r="AI63" s="20">
        <f>IF(AH$2&gt;='[2]2 цех result'!$D24,'[2]2 цех_CapEx'!P24,0)</f>
        <v>0</v>
      </c>
      <c r="AJ63" s="20" t="str">
        <f>IF(AH$2&gt;='[2]2 цех result'!$C24,$AK63,"")</f>
        <v>Установка 2-го СТ: Т-2-Т мощностью 4000 кВА
Строительство 2-й секции 35 и 6 кВ -  1 шт.
Установка ВВ 35 кВ - 1000 А - 2 шт.
Установка дополнительных ячеек КРУН 6 кВ - 4 шт.
Строительство ВЛ 35 кВ - АС-95 - 2 км.</v>
      </c>
      <c r="AK63" s="12" t="s">
        <v>87</v>
      </c>
      <c r="AL63" s="19"/>
      <c r="AM63" s="71">
        <f t="shared" si="3"/>
        <v>66755.67339430438</v>
      </c>
      <c r="AN63" s="71">
        <f>'[2]2 цех_CapEx'!$V24</f>
        <v>66755.67339430438</v>
      </c>
      <c r="AO63" s="71">
        <f t="shared" si="4"/>
        <v>0</v>
      </c>
      <c r="AP63" s="62" t="s">
        <v>209</v>
      </c>
      <c r="AQ63" s="79" t="s">
        <v>201</v>
      </c>
    </row>
    <row r="64" spans="1:43" ht="30">
      <c r="A64" s="78">
        <v>53</v>
      </c>
      <c r="B64" s="19" t="str">
        <f>'[2]2 цех_CapEx'!$B26</f>
        <v>ПС 35/6 кВ 2х2500 кВА "Никольская"</v>
      </c>
      <c r="C64" s="32">
        <f>'[2]2 цех_CapEx'!$W26</f>
        <v>1</v>
      </c>
      <c r="D64" s="20">
        <f>IF(D$2='[2]2 цех result'!$C26,'[2]2 цех_CapEx'!F26,0)</f>
        <v>0</v>
      </c>
      <c r="E64" s="20">
        <f>IF(D$2&gt;='[2]2 цех result'!$D26,'[2]2 цех_CapEx'!F26,0)</f>
        <v>0</v>
      </c>
      <c r="F64" s="20" t="str">
        <f>IF(D$2&gt;='[2]2 цех result'!$C26,$AK64,"")</f>
        <v/>
      </c>
      <c r="G64" s="20">
        <f>IF(G$2='[2]2 цех result'!$C26,'[2]2 цех_CapEx'!G26,0)</f>
        <v>0</v>
      </c>
      <c r="H64" s="20">
        <f>IF(G$2&gt;='[2]2 цех result'!$D26,'[2]2 цех_CapEx'!G26,0)</f>
        <v>0</v>
      </c>
      <c r="I64" s="20" t="str">
        <f>IF(G$2&gt;='[2]2 цех result'!$C26,$AK64,"")</f>
        <v/>
      </c>
      <c r="J64" s="20">
        <f>IF(J$2='[2]2 цех result'!$C26,'[2]2 цех_CapEx'!H26,0)</f>
        <v>0</v>
      </c>
      <c r="K64" s="20">
        <f>IF(J$2&gt;='[2]2 цех result'!$D26,'[2]2 цех_CapEx'!H26,0)</f>
        <v>0</v>
      </c>
      <c r="L64" s="20" t="str">
        <f>IF(J$2&gt;='[2]2 цех result'!$C26,$AK64,"")</f>
        <v/>
      </c>
      <c r="M64" s="20">
        <f>IF(M$2='[2]2 цех result'!$C26,'[2]2 цех_CapEx'!I26,0)</f>
        <v>0</v>
      </c>
      <c r="N64" s="20">
        <f>IF(M$2&gt;='[2]2 цех result'!$D26,'[2]2 цех_CapEx'!I26,0)</f>
        <v>0</v>
      </c>
      <c r="O64" s="20" t="str">
        <f>IF(M$2&gt;='[2]2 цех result'!$C26,$AK64,"")</f>
        <v/>
      </c>
      <c r="P64" s="20">
        <f>IF(P$2='[2]2 цех result'!$C26,'[2]2 цех_CapEx'!J26,0)</f>
        <v>1365.4275987733554</v>
      </c>
      <c r="Q64" s="20">
        <f>IF(P$2&gt;='[2]2 цех result'!$D26,'[2]2 цех_CapEx'!J26,0)</f>
        <v>0</v>
      </c>
      <c r="R64" s="20" t="str">
        <f>IF(P$2&gt;='[2]2 цех result'!$C26,$AK64,"")</f>
        <v>Замена
КРУН-6 кВ - 14 ячеек</v>
      </c>
      <c r="S64" s="20">
        <f>IF(S$2='[2]2 цех result'!$C26,'[2]2 цех_CapEx'!K26,0)</f>
        <v>0</v>
      </c>
      <c r="T64" s="20">
        <f>IF(S$2&gt;='[2]2 цех result'!$D26,'[2]2 цех_CapEx'!K26,0)</f>
        <v>46577.01110682376</v>
      </c>
      <c r="U64" s="20" t="str">
        <f>IF(S$2&gt;='[2]2 цех result'!$C26,$AK64,"")</f>
        <v>Замена
КРУН-6 кВ - 14 ячеек</v>
      </c>
      <c r="V64" s="20">
        <f>IF(V$2='[2]2 цех result'!$C26,'[2]2 цех_CapEx'!L26,0)</f>
        <v>0</v>
      </c>
      <c r="W64" s="20">
        <f>IF(V$2&gt;='[2]2 цех result'!$D26,'[2]2 цех_CapEx'!L26,0)</f>
        <v>0</v>
      </c>
      <c r="X64" s="20" t="str">
        <f>IF(V$2&gt;='[2]2 цех result'!$C26,$AK64,"")</f>
        <v>Замена
КРУН-6 кВ - 14 ячеек</v>
      </c>
      <c r="Y64" s="20">
        <f>IF(Y$2='[2]2 цех result'!$C26,'[2]2 цех_CapEx'!M26,0)</f>
        <v>0</v>
      </c>
      <c r="Z64" s="20">
        <f>IF(Y$2&gt;='[2]2 цех result'!$D26,'[2]2 цех_CapEx'!M26,0)</f>
        <v>0</v>
      </c>
      <c r="AA64" s="20" t="str">
        <f>IF(Y$2&gt;='[2]2 цех result'!$C26,$AK64,"")</f>
        <v>Замена
КРУН-6 кВ - 14 ячеек</v>
      </c>
      <c r="AB64" s="20">
        <f>IF(AB$2='[2]2 цех result'!$C26,'[2]2 цех_CapEx'!N26,0)</f>
        <v>0</v>
      </c>
      <c r="AC64" s="20">
        <f>IF(AB$2&gt;='[2]2 цех result'!$D26,'[2]2 цех_CapEx'!N26,0)</f>
        <v>0</v>
      </c>
      <c r="AD64" s="20" t="str">
        <f>IF(AB$2&gt;='[2]2 цех result'!$C26,$AK64,"")</f>
        <v>Замена
КРУН-6 кВ - 14 ячеек</v>
      </c>
      <c r="AE64" s="20">
        <f>IF(AE$2='[2]2 цех result'!$C26,'[2]2 цех_CapEx'!O26,0)</f>
        <v>0</v>
      </c>
      <c r="AF64" s="20">
        <f>IF(AE$2&gt;='[2]2 цех result'!$D26,'[2]2 цех_CapEx'!O26,0)</f>
        <v>0</v>
      </c>
      <c r="AG64" s="20" t="str">
        <f>IF(AE$2&gt;='[2]2 цех result'!$C26,$AK64,"")</f>
        <v>Замена
КРУН-6 кВ - 14 ячеек</v>
      </c>
      <c r="AH64" s="20">
        <f>IF(AH$2='[2]2 цех result'!$C26,'[2]2 цех_CapEx'!P26,0)</f>
        <v>0</v>
      </c>
      <c r="AI64" s="20">
        <f>IF(AH$2&gt;='[2]2 цех result'!$D26,'[2]2 цех_CapEx'!P26,0)</f>
        <v>0</v>
      </c>
      <c r="AJ64" s="20" t="str">
        <f>IF(AH$2&gt;='[2]2 цех result'!$C26,$AK64,"")</f>
        <v>Замена
КРУН-6 кВ - 14 ячеек</v>
      </c>
      <c r="AK64" s="12" t="s">
        <v>89</v>
      </c>
      <c r="AL64" s="19"/>
      <c r="AM64" s="71">
        <f t="shared" si="3"/>
        <v>47942.438705597116</v>
      </c>
      <c r="AN64" s="71">
        <f>'[2]2 цех_CapEx'!$V26</f>
        <v>47942.438705597116</v>
      </c>
      <c r="AO64" s="71">
        <f t="shared" si="4"/>
        <v>0</v>
      </c>
      <c r="AP64" s="62" t="s">
        <v>210</v>
      </c>
      <c r="AQ64" s="79" t="s">
        <v>201</v>
      </c>
    </row>
    <row r="65" spans="1:43" s="37" customFormat="1" ht="45">
      <c r="A65" s="78">
        <v>54</v>
      </c>
      <c r="B65" s="34" t="str">
        <f>'[2]2 цех_CapEx'!$B27</f>
        <v>ПС 35/6 кВ 2х4000 кВА "Благодаровская"</v>
      </c>
      <c r="C65" s="35">
        <f>'[2]2 цех_CapEx'!$W27</f>
        <v>1</v>
      </c>
      <c r="D65" s="36">
        <f>IF(D$2='[2]2 цех result'!$C27,'[2]2 цех_CapEx'!F27,0)</f>
        <v>0</v>
      </c>
      <c r="E65" s="36">
        <f>IF(D$2&gt;='[2]2 цех result'!$D27,'[2]2 цех_CapEx'!F27,0)</f>
        <v>0</v>
      </c>
      <c r="F65" s="36" t="str">
        <f>IF(D$2&gt;='[2]2 цех result'!$C27,$AK65,"")</f>
        <v/>
      </c>
      <c r="G65" s="36">
        <f>IF(G$2='[2]2 цех result'!$C27,'[2]2 цех_CapEx'!G27,0)</f>
        <v>0</v>
      </c>
      <c r="H65" s="36">
        <f>IF(G$2&gt;='[2]2 цех result'!$D27,'[2]2 цех_CapEx'!G27,0)</f>
        <v>0</v>
      </c>
      <c r="I65" s="36" t="str">
        <f>IF(G$2&gt;='[2]2 цех result'!$C27,$AK65,"")</f>
        <v/>
      </c>
      <c r="J65" s="36">
        <f>IF(J$2='[2]2 цех result'!$C27,'[2]2 цех_CapEx'!H27,0)</f>
        <v>0</v>
      </c>
      <c r="K65" s="36">
        <f>IF(J$2&gt;='[2]2 цех result'!$D27,'[2]2 цех_CapEx'!H27,0)</f>
        <v>0</v>
      </c>
      <c r="L65" s="36" t="str">
        <f>IF(J$2&gt;='[2]2 цех result'!$C27,$AK65,"")</f>
        <v/>
      </c>
      <c r="M65" s="36">
        <f>IF(M$2='[2]2 цех result'!$C27,'[2]2 цех_CapEx'!I27,0)</f>
        <v>0</v>
      </c>
      <c r="N65" s="36">
        <f>IF(M$2&gt;='[2]2 цех result'!$D27,'[2]2 цех_CapEx'!I27,0)</f>
        <v>0</v>
      </c>
      <c r="O65" s="36" t="str">
        <f>IF(M$2&gt;='[2]2 цех result'!$C27,$AK65,"")</f>
        <v/>
      </c>
      <c r="P65" s="36">
        <f>IF(P$2='[2]2 цех result'!$C27,'[2]2 цех_CapEx'!J27,0)</f>
        <v>574.88258103124042</v>
      </c>
      <c r="Q65" s="36">
        <f>IF(P$2&gt;='[2]2 цех result'!$D27,'[2]2 цех_CapEx'!J27,0)</f>
        <v>0</v>
      </c>
      <c r="R65" s="36" t="str">
        <f>IF(P$2&gt;='[2]2 цех result'!$C27,$AK65,"")</f>
        <v>Замена блоков МВ-35 кВ на ВВ-35 кВ - 1000 А - 2 шт.</v>
      </c>
      <c r="S65" s="36">
        <f>IF(S$2='[2]2 цех result'!$C27,'[2]2 цех_CapEx'!K27,0)</f>
        <v>0</v>
      </c>
      <c r="T65" s="36">
        <f>IF(S$2&gt;='[2]2 цех result'!$D27,'[2]2 цех_CapEx'!K27,0)</f>
        <v>19610.202976610664</v>
      </c>
      <c r="U65" s="36" t="str">
        <f>IF(S$2&gt;='[2]2 цех result'!$C27,$AK65,"")</f>
        <v>Замена блоков МВ-35 кВ на ВВ-35 кВ - 1000 А - 2 шт.</v>
      </c>
      <c r="V65" s="36">
        <f>IF(V$2='[2]2 цех result'!$C27,'[2]2 цех_CapEx'!L27,0)</f>
        <v>0</v>
      </c>
      <c r="W65" s="36">
        <f>IF(V$2&gt;='[2]2 цех result'!$D27,'[2]2 цех_CapEx'!L27,0)</f>
        <v>0</v>
      </c>
      <c r="X65" s="36" t="str">
        <f>IF(V$2&gt;='[2]2 цех result'!$C27,$AK65,"")</f>
        <v>Замена блоков МВ-35 кВ на ВВ-35 кВ - 1000 А - 2 шт.</v>
      </c>
      <c r="Y65" s="36">
        <f>IF(Y$2='[2]2 цех result'!$C27,'[2]2 цех_CapEx'!M27,0)</f>
        <v>0</v>
      </c>
      <c r="Z65" s="36">
        <f>IF(Y$2&gt;='[2]2 цех result'!$D27,'[2]2 цех_CapEx'!M27,0)</f>
        <v>0</v>
      </c>
      <c r="AA65" s="36" t="str">
        <f>IF(Y$2&gt;='[2]2 цех result'!$C27,$AK65,"")</f>
        <v>Замена блоков МВ-35 кВ на ВВ-35 кВ - 1000 А - 2 шт.</v>
      </c>
      <c r="AB65" s="36">
        <f>IF(AB$2='[2]2 цех result'!$C27,'[2]2 цех_CapEx'!N27,0)</f>
        <v>0</v>
      </c>
      <c r="AC65" s="36">
        <f>IF(AB$2&gt;='[2]2 цех result'!$D27,'[2]2 цех_CapEx'!N27,0)</f>
        <v>0</v>
      </c>
      <c r="AD65" s="36" t="str">
        <f>IF(AB$2&gt;='[2]2 цех result'!$C27,$AK65,"")</f>
        <v>Замена блоков МВ-35 кВ на ВВ-35 кВ - 1000 А - 2 шт.</v>
      </c>
      <c r="AE65" s="36">
        <f>IF(AE$2='[2]2 цех result'!$C27,'[2]2 цех_CapEx'!O27,0)</f>
        <v>0</v>
      </c>
      <c r="AF65" s="36">
        <f>IF(AE$2&gt;='[2]2 цех result'!$D27,'[2]2 цех_CapEx'!O27,0)</f>
        <v>0</v>
      </c>
      <c r="AG65" s="36" t="str">
        <f>IF(AE$2&gt;='[2]2 цех result'!$C27,$AK65,"")</f>
        <v>Замена блоков МВ-35 кВ на ВВ-35 кВ - 1000 А - 2 шт.</v>
      </c>
      <c r="AH65" s="36">
        <f>IF(AH$2='[2]2 цех result'!$C27,'[2]2 цех_CapEx'!P27,0)</f>
        <v>0</v>
      </c>
      <c r="AI65" s="36">
        <f>IF(AH$2&gt;='[2]2 цех result'!$D27,'[2]2 цех_CapEx'!P27,0)</f>
        <v>0</v>
      </c>
      <c r="AJ65" s="36" t="str">
        <f>IF(AH$2&gt;='[2]2 цех result'!$C27,$AK65,"")</f>
        <v>Замена блоков МВ-35 кВ на ВВ-35 кВ - 1000 А - 2 шт.</v>
      </c>
      <c r="AK65" s="12" t="s">
        <v>169</v>
      </c>
      <c r="AL65" s="34"/>
      <c r="AM65" s="72">
        <f t="shared" si="3"/>
        <v>20185.085557641905</v>
      </c>
      <c r="AN65" s="72">
        <f>'[2]2 цех_CapEx'!$V27</f>
        <v>20185.085557641905</v>
      </c>
      <c r="AO65" s="72">
        <f t="shared" si="4"/>
        <v>0</v>
      </c>
      <c r="AP65" s="62" t="s">
        <v>211</v>
      </c>
      <c r="AQ65" s="79" t="s">
        <v>201</v>
      </c>
    </row>
    <row r="66" spans="1:43" ht="45">
      <c r="A66" s="78">
        <v>55</v>
      </c>
      <c r="B66" s="19" t="str">
        <f>'[2]2 цех_CapEx'!$B28</f>
        <v>ПС 35/6 кВ 1х10000+1х4000 кВА "ДНС-2"</v>
      </c>
      <c r="C66" s="32">
        <f>'[2]2 цех_CapEx'!$W28</f>
        <v>1</v>
      </c>
      <c r="D66" s="20">
        <f>IF(D$2='[2]2 цех result'!$C28,'[2]2 цех_CapEx'!F28,0)</f>
        <v>0</v>
      </c>
      <c r="E66" s="20">
        <f>IF(D$2&gt;='[2]2 цех result'!$D28,'[2]2 цех_CapEx'!F28,0)</f>
        <v>0</v>
      </c>
      <c r="F66" s="20" t="str">
        <f>IF(D$2&gt;='[2]2 цех result'!$C28,$AK66,"")</f>
        <v/>
      </c>
      <c r="G66" s="20">
        <f>IF(G$2='[2]2 цех result'!$C28,'[2]2 цех_CapEx'!G28,0)</f>
        <v>0</v>
      </c>
      <c r="H66" s="20">
        <f>IF(G$2&gt;='[2]2 цех result'!$D28,'[2]2 цех_CapEx'!G28,0)</f>
        <v>0</v>
      </c>
      <c r="I66" s="20" t="str">
        <f>IF(G$2&gt;='[2]2 цех result'!$C28,$AK66,"")</f>
        <v/>
      </c>
      <c r="J66" s="20">
        <f>IF(J$2='[2]2 цех result'!$C28,'[2]2 цех_CapEx'!H28,0)</f>
        <v>0</v>
      </c>
      <c r="K66" s="20">
        <f>IF(J$2&gt;='[2]2 цех result'!$D28,'[2]2 цех_CapEx'!H28,0)</f>
        <v>0</v>
      </c>
      <c r="L66" s="20" t="str">
        <f>IF(J$2&gt;='[2]2 цех result'!$C28,$AK66,"")</f>
        <v/>
      </c>
      <c r="M66" s="20">
        <f>IF(M$2='[2]2 цех result'!$C28,'[2]2 цех_CapEx'!I28,0)</f>
        <v>0</v>
      </c>
      <c r="N66" s="20">
        <f>IF(M$2&gt;='[2]2 цех result'!$D28,'[2]2 цех_CapEx'!I28,0)</f>
        <v>0</v>
      </c>
      <c r="O66" s="20" t="str">
        <f>IF(M$2&gt;='[2]2 цех result'!$C28,$AK66,"")</f>
        <v/>
      </c>
      <c r="P66" s="20">
        <f>IF(P$2='[2]2 цех result'!$C28,'[2]2 цех_CapEx'!J28,0)</f>
        <v>0</v>
      </c>
      <c r="Q66" s="20">
        <f>IF(P$2&gt;='[2]2 цех result'!$D28,'[2]2 цех_CapEx'!J28,0)</f>
        <v>0</v>
      </c>
      <c r="R66" s="20" t="str">
        <f>IF(P$2&gt;='[2]2 цех result'!$C28,$AK66,"")</f>
        <v/>
      </c>
      <c r="S66" s="20">
        <f>IF(S$2='[2]2 цех result'!$C28,'[2]2 цех_CapEx'!K28,0)</f>
        <v>0</v>
      </c>
      <c r="T66" s="20">
        <f>IF(S$2&gt;='[2]2 цех result'!$D28,'[2]2 цех_CapEx'!K28,0)</f>
        <v>0</v>
      </c>
      <c r="U66" s="20" t="str">
        <f>IF(S$2&gt;='[2]2 цех result'!$C28,$AK66,"")</f>
        <v/>
      </c>
      <c r="V66" s="20">
        <f>IF(V$2='[2]2 цех result'!$C28,'[2]2 цех_CapEx'!L28,0)</f>
        <v>0</v>
      </c>
      <c r="W66" s="20">
        <f>IF(V$2&gt;='[2]2 цех result'!$D28,'[2]2 цех_CapEx'!L28,0)</f>
        <v>0</v>
      </c>
      <c r="X66" s="20" t="str">
        <f>IF(V$2&gt;='[2]2 цех result'!$C28,$AK66,"")</f>
        <v/>
      </c>
      <c r="Y66" s="20">
        <f>IF(Y$2='[2]2 цех result'!$C28,'[2]2 цех_CapEx'!M28,0)</f>
        <v>0</v>
      </c>
      <c r="Z66" s="20">
        <f>IF(Y$2&gt;='[2]2 цех result'!$D28,'[2]2 цех_CapEx'!M28,0)</f>
        <v>0</v>
      </c>
      <c r="AA66" s="20" t="str">
        <f>IF(Y$2&gt;='[2]2 цех result'!$C28,$AK66,"")</f>
        <v/>
      </c>
      <c r="AB66" s="20">
        <f>IF(AB$2='[2]2 цех result'!$C28,'[2]2 цех_CapEx'!N28,0)</f>
        <v>0</v>
      </c>
      <c r="AC66" s="20">
        <f>IF(AB$2&gt;='[2]2 цех result'!$D28,'[2]2 цех_CapEx'!N28,0)</f>
        <v>0</v>
      </c>
      <c r="AD66" s="20" t="str">
        <f>IF(AB$2&gt;='[2]2 цех result'!$C28,$AK66,"")</f>
        <v/>
      </c>
      <c r="AE66" s="20">
        <f>IF(AE$2='[2]2 цех result'!$C28,'[2]2 цех_CapEx'!O28,0)</f>
        <v>811.2558618888803</v>
      </c>
      <c r="AF66" s="20">
        <f>IF(AE$2&gt;='[2]2 цех result'!$D28,'[2]2 цех_CapEx'!O28,0)</f>
        <v>0</v>
      </c>
      <c r="AG66" s="20" t="str">
        <f>IF(AE$2&gt;='[2]2 цех result'!$C28,$AK66,"")</f>
        <v>Замена Т-1-Т 35/6 кВ мощностью 4000 кВА  -1 шт.</v>
      </c>
      <c r="AH66" s="20">
        <f>IF(AH$2='[2]2 цех result'!$C28,'[2]2 цех_CapEx'!P28,0)</f>
        <v>0</v>
      </c>
      <c r="AI66" s="20">
        <f>IF(AH$2&gt;='[2]2 цех result'!$D28,'[2]2 цех_CapEx'!P28,0)</f>
        <v>27227.369236714603</v>
      </c>
      <c r="AJ66" s="20" t="str">
        <f>IF(AH$2&gt;='[2]2 цех result'!$C28,$AK66,"")</f>
        <v>Замена Т-1-Т 35/6 кВ мощностью 4000 кВА  -1 шт.</v>
      </c>
      <c r="AK66" s="12" t="s">
        <v>90</v>
      </c>
      <c r="AL66" s="19"/>
      <c r="AM66" s="71">
        <f t="shared" si="3"/>
        <v>28038.625098603483</v>
      </c>
      <c r="AN66" s="71">
        <f>'[2]2 цех_CapEx'!$V28</f>
        <v>28038.625098603483</v>
      </c>
      <c r="AO66" s="71">
        <f t="shared" si="4"/>
        <v>0</v>
      </c>
      <c r="AP66" s="62" t="s">
        <v>212</v>
      </c>
      <c r="AQ66" s="79" t="s">
        <v>201</v>
      </c>
    </row>
    <row r="67" spans="1:43" s="38" customFormat="1" hidden="1">
      <c r="A67" s="78">
        <f>A65+1</f>
        <v>55</v>
      </c>
      <c r="B67" s="39" t="s">
        <v>18</v>
      </c>
      <c r="C67" s="40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30"/>
      <c r="AL67" s="27"/>
      <c r="AM67" s="27"/>
      <c r="AN67" s="27"/>
      <c r="AO67" s="27"/>
      <c r="AP67" s="61"/>
      <c r="AQ67" s="77"/>
    </row>
    <row r="68" spans="1:43" ht="45">
      <c r="A68" s="78">
        <v>56</v>
      </c>
      <c r="B68" s="19" t="str">
        <f>'[2]2 цех_CapEx'!$B30</f>
        <v>ПС 35/6 кВ 2х4000 кВА "Евгеньевская"</v>
      </c>
      <c r="C68" s="32">
        <f>'[2]2 цех_CapEx'!$W30</f>
        <v>1</v>
      </c>
      <c r="D68" s="20">
        <f>IF(D$2='[2]2 цех result'!$C30,'[2]2 цех_CapEx'!F30,0)</f>
        <v>0</v>
      </c>
      <c r="E68" s="20">
        <f>IF(D$2&gt;='[2]2 цех result'!$D30,'[2]2 цех_CapEx'!F30,0)</f>
        <v>0</v>
      </c>
      <c r="F68" s="20" t="str">
        <f>IF(D$2&gt;='[2]2 цех result'!$C30,$AK68,"")</f>
        <v/>
      </c>
      <c r="G68" s="20">
        <f>IF(G$2='[2]2 цех result'!$C30,'[2]2 цех_CapEx'!G30,0)</f>
        <v>0</v>
      </c>
      <c r="H68" s="20">
        <f>IF(G$2&gt;='[2]2 цех result'!$D30,'[2]2 цех_CapEx'!G30,0)</f>
        <v>0</v>
      </c>
      <c r="I68" s="20" t="str">
        <f>IF(G$2&gt;='[2]2 цех result'!$C30,$AK68,"")</f>
        <v/>
      </c>
      <c r="J68" s="20">
        <f>IF(J$2='[2]2 цех result'!$C30,'[2]2 цех_CapEx'!H30,0)</f>
        <v>0</v>
      </c>
      <c r="K68" s="20">
        <f>IF(J$2&gt;='[2]2 цех result'!$D30,'[2]2 цех_CapEx'!H30,0)</f>
        <v>0</v>
      </c>
      <c r="L68" s="20" t="str">
        <f>IF(J$2&gt;='[2]2 цех result'!$C30,$AK68,"")</f>
        <v/>
      </c>
      <c r="M68" s="20">
        <f>IF(M$2='[2]2 цех result'!$C30,'[2]2 цех_CapEx'!I30,0)</f>
        <v>0</v>
      </c>
      <c r="N68" s="20">
        <f>IF(M$2&gt;='[2]2 цех result'!$D30,'[2]2 цех_CapEx'!I30,0)</f>
        <v>0</v>
      </c>
      <c r="O68" s="20" t="str">
        <f>IF(M$2&gt;='[2]2 цех result'!$C30,$AK68,"")</f>
        <v/>
      </c>
      <c r="P68" s="20">
        <f>IF(P$2='[2]2 цех result'!$C30,'[2]2 цех_CapEx'!J30,0)</f>
        <v>1370.2892974975105</v>
      </c>
      <c r="Q68" s="20">
        <f>IF(P$2&gt;='[2]2 цех result'!$D30,'[2]2 цех_CapEx'!J30,0)</f>
        <v>0</v>
      </c>
      <c r="R68" s="20" t="str">
        <f>IF(P$2&gt;='[2]2 цех result'!$C30,$AK68,"")</f>
        <v>Замена ячеек  6 кВ 14 шт.
Монтаж АВР 6кВ</v>
      </c>
      <c r="S68" s="20">
        <f>IF(S$2='[2]2 цех result'!$C30,'[2]2 цех_CapEx'!K30,0)</f>
        <v>0</v>
      </c>
      <c r="T68" s="20">
        <f>IF(S$2&gt;='[2]2 цех result'!$D30,'[2]2 цех_CapEx'!K30,0)</f>
        <v>46742.865421966933</v>
      </c>
      <c r="U68" s="20" t="str">
        <f>IF(S$2&gt;='[2]2 цех result'!$C30,$AK68,"")</f>
        <v>Замена ячеек  6 кВ 14 шт.
Монтаж АВР 6кВ</v>
      </c>
      <c r="V68" s="20">
        <f>IF(V$2='[2]2 цех result'!$C30,'[2]2 цех_CapEx'!L30,0)</f>
        <v>0</v>
      </c>
      <c r="W68" s="20">
        <f>IF(V$2&gt;='[2]2 цех result'!$D30,'[2]2 цех_CapEx'!L30,0)</f>
        <v>0</v>
      </c>
      <c r="X68" s="20" t="str">
        <f>IF(V$2&gt;='[2]2 цех result'!$C30,$AK68,"")</f>
        <v>Замена ячеек  6 кВ 14 шт.
Монтаж АВР 6кВ</v>
      </c>
      <c r="Y68" s="20">
        <f>IF(Y$2='[2]2 цех result'!$C30,'[2]2 цех_CapEx'!M30,0)</f>
        <v>0</v>
      </c>
      <c r="Z68" s="20">
        <f>IF(Y$2&gt;='[2]2 цех result'!$D30,'[2]2 цех_CapEx'!M30,0)</f>
        <v>0</v>
      </c>
      <c r="AA68" s="20" t="str">
        <f>IF(Y$2&gt;='[2]2 цех result'!$C30,$AK68,"")</f>
        <v>Замена ячеек  6 кВ 14 шт.
Монтаж АВР 6кВ</v>
      </c>
      <c r="AB68" s="20">
        <f>IF(AB$2='[2]2 цех result'!$C30,'[2]2 цех_CapEx'!N30,0)</f>
        <v>0</v>
      </c>
      <c r="AC68" s="20">
        <f>IF(AB$2&gt;='[2]2 цех result'!$D30,'[2]2 цех_CapEx'!N30,0)</f>
        <v>0</v>
      </c>
      <c r="AD68" s="20" t="str">
        <f>IF(AB$2&gt;='[2]2 цех result'!$C30,$AK68,"")</f>
        <v>Замена ячеек  6 кВ 14 шт.
Монтаж АВР 6кВ</v>
      </c>
      <c r="AE68" s="20">
        <f>IF(AE$2='[2]2 цех result'!$C30,'[2]2 цех_CapEx'!O30,0)</f>
        <v>0</v>
      </c>
      <c r="AF68" s="20">
        <f>IF(AE$2&gt;='[2]2 цех result'!$D30,'[2]2 цех_CapEx'!O30,0)</f>
        <v>0</v>
      </c>
      <c r="AG68" s="20" t="str">
        <f>IF(AE$2&gt;='[2]2 цех result'!$C30,$AK68,"")</f>
        <v>Замена ячеек  6 кВ 14 шт.
Монтаж АВР 6кВ</v>
      </c>
      <c r="AH68" s="20">
        <f>IF(AH$2='[2]2 цех result'!$C30,'[2]2 цех_CapEx'!P30,0)</f>
        <v>0</v>
      </c>
      <c r="AI68" s="20">
        <f>IF(AH$2&gt;='[2]2 цех result'!$D30,'[2]2 цех_CapEx'!P30,0)</f>
        <v>0</v>
      </c>
      <c r="AJ68" s="20" t="str">
        <f>IF(AH$2&gt;='[2]2 цех result'!$C30,$AK68,"")</f>
        <v>Замена ячеек  6 кВ 14 шт.
Монтаж АВР 6кВ</v>
      </c>
      <c r="AK68" s="12" t="s">
        <v>91</v>
      </c>
      <c r="AL68" s="19"/>
      <c r="AM68" s="71">
        <f>SUM(D68:AJ68)</f>
        <v>48113.154719464444</v>
      </c>
      <c r="AN68" s="71">
        <f>'[2]2 цех_CapEx'!$V30</f>
        <v>48113.154719464444</v>
      </c>
      <c r="AO68" s="71">
        <f>AM68-AN68</f>
        <v>0</v>
      </c>
      <c r="AP68" s="62" t="s">
        <v>213</v>
      </c>
      <c r="AQ68" s="79" t="s">
        <v>201</v>
      </c>
    </row>
    <row r="69" spans="1:43" ht="45">
      <c r="A69" s="78">
        <v>57</v>
      </c>
      <c r="B69" s="19" t="str">
        <f>'[2]2 цех_CapEx'!$B31</f>
        <v xml:space="preserve">ПС 35/6 кВ 1х2,500;1х4000 кВА Широкинская </v>
      </c>
      <c r="C69" s="32">
        <f>'[2]2 цех_CapEx'!$W31</f>
        <v>1</v>
      </c>
      <c r="D69" s="20">
        <f>IF(D$2='[2]2 цех result'!$C31,'[2]2 цех_CapEx'!F31,0)</f>
        <v>0</v>
      </c>
      <c r="E69" s="20">
        <f>IF(D$2&gt;='[2]2 цех result'!$D31,'[2]2 цех_CapEx'!F31,0)</f>
        <v>0</v>
      </c>
      <c r="F69" s="20" t="str">
        <f>IF(D$2&gt;='[2]2 цех result'!$C31,$AK69,"")</f>
        <v/>
      </c>
      <c r="G69" s="20">
        <f>IF(G$2='[2]2 цех result'!$C31,'[2]2 цех_CapEx'!G31,0)</f>
        <v>0</v>
      </c>
      <c r="H69" s="20">
        <f>IF(G$2&gt;='[2]2 цех result'!$D31,'[2]2 цех_CapEx'!G31,0)</f>
        <v>0</v>
      </c>
      <c r="I69" s="20" t="str">
        <f>IF(G$2&gt;='[2]2 цех result'!$C31,$AK69,"")</f>
        <v/>
      </c>
      <c r="J69" s="20">
        <f>IF(J$2='[2]2 цех result'!$C31,'[2]2 цех_CapEx'!H31,0)</f>
        <v>1225.34780682</v>
      </c>
      <c r="K69" s="20">
        <f>IF(J$2&gt;='[2]2 цех result'!$D31,'[2]2 цех_CapEx'!H31,0)</f>
        <v>0</v>
      </c>
      <c r="L69" s="20" t="str">
        <f>IF(J$2&gt;='[2]2 цех result'!$C31,$AK69,"")</f>
        <v>Замена ячеек  6 кВ 14 шт.
Монтаж АВР 6кВ</v>
      </c>
      <c r="M69" s="20">
        <f>IF(M$2='[2]2 цех result'!$C31,'[2]2 цех_CapEx'!I31,0)</f>
        <v>0</v>
      </c>
      <c r="N69" s="20">
        <f>IF(M$2&gt;='[2]2 цех result'!$D31,'[2]2 цех_CapEx'!I31,0)</f>
        <v>41719.428978647942</v>
      </c>
      <c r="O69" s="20" t="str">
        <f>IF(M$2&gt;='[2]2 цех result'!$C31,$AK69,"")</f>
        <v>Замена ячеек  6 кВ 14 шт.
Монтаж АВР 6кВ</v>
      </c>
      <c r="P69" s="20">
        <f>IF(P$2='[2]2 цех result'!$C31,'[2]2 цех_CapEx'!J31,0)</f>
        <v>0</v>
      </c>
      <c r="Q69" s="20">
        <f>IF(P$2&gt;='[2]2 цех result'!$D31,'[2]2 цех_CapEx'!J31,0)</f>
        <v>0</v>
      </c>
      <c r="R69" s="20" t="str">
        <f>IF(P$2&gt;='[2]2 цех result'!$C31,$AK69,"")</f>
        <v>Замена ячеек  6 кВ 14 шт.
Монтаж АВР 6кВ</v>
      </c>
      <c r="S69" s="20">
        <f>IF(S$2='[2]2 цех result'!$C31,'[2]2 цех_CapEx'!K31,0)</f>
        <v>0</v>
      </c>
      <c r="T69" s="20">
        <f>IF(S$2&gt;='[2]2 цех result'!$D31,'[2]2 цех_CapEx'!K31,0)</f>
        <v>0</v>
      </c>
      <c r="U69" s="20" t="str">
        <f>IF(S$2&gt;='[2]2 цех result'!$C31,$AK69,"")</f>
        <v>Замена ячеек  6 кВ 14 шт.
Монтаж АВР 6кВ</v>
      </c>
      <c r="V69" s="20">
        <f>IF(V$2='[2]2 цех result'!$C31,'[2]2 цех_CapEx'!L31,0)</f>
        <v>0</v>
      </c>
      <c r="W69" s="20">
        <f>IF(V$2&gt;='[2]2 цех result'!$D31,'[2]2 цех_CapEx'!L31,0)</f>
        <v>0</v>
      </c>
      <c r="X69" s="20" t="str">
        <f>IF(V$2&gt;='[2]2 цех result'!$C31,$AK69,"")</f>
        <v>Замена ячеек  6 кВ 14 шт.
Монтаж АВР 6кВ</v>
      </c>
      <c r="Y69" s="20">
        <f>IF(Y$2='[2]2 цех result'!$C31,'[2]2 цех_CapEx'!M31,0)</f>
        <v>0</v>
      </c>
      <c r="Z69" s="20">
        <f>IF(Y$2&gt;='[2]2 цех result'!$D31,'[2]2 цех_CapEx'!M31,0)</f>
        <v>0</v>
      </c>
      <c r="AA69" s="20" t="str">
        <f>IF(Y$2&gt;='[2]2 цех result'!$C31,$AK69,"")</f>
        <v>Замена ячеек  6 кВ 14 шт.
Монтаж АВР 6кВ</v>
      </c>
      <c r="AB69" s="20">
        <f>IF(AB$2='[2]2 цех result'!$C31,'[2]2 цех_CapEx'!N31,0)</f>
        <v>0</v>
      </c>
      <c r="AC69" s="20">
        <f>IF(AB$2&gt;='[2]2 цех result'!$D31,'[2]2 цех_CapEx'!N31,0)</f>
        <v>0</v>
      </c>
      <c r="AD69" s="20" t="str">
        <f>IF(AB$2&gt;='[2]2 цех result'!$C31,$AK69,"")</f>
        <v>Замена ячеек  6 кВ 14 шт.
Монтаж АВР 6кВ</v>
      </c>
      <c r="AE69" s="20">
        <f>IF(AE$2='[2]2 цех result'!$C31,'[2]2 цех_CapEx'!O31,0)</f>
        <v>0</v>
      </c>
      <c r="AF69" s="20">
        <f>IF(AE$2&gt;='[2]2 цех result'!$D31,'[2]2 цех_CapEx'!O31,0)</f>
        <v>0</v>
      </c>
      <c r="AG69" s="20" t="str">
        <f>IF(AE$2&gt;='[2]2 цех result'!$C31,$AK69,"")</f>
        <v>Замена ячеек  6 кВ 14 шт.
Монтаж АВР 6кВ</v>
      </c>
      <c r="AH69" s="20">
        <f>IF(AH$2='[2]2 цех result'!$C31,'[2]2 цех_CapEx'!P31,0)</f>
        <v>0</v>
      </c>
      <c r="AI69" s="20">
        <f>IF(AH$2&gt;='[2]2 цех result'!$D31,'[2]2 цех_CapEx'!P31,0)</f>
        <v>0</v>
      </c>
      <c r="AJ69" s="20" t="str">
        <f>IF(AH$2&gt;='[2]2 цех result'!$C31,$AK69,"")</f>
        <v>Замена ячеек  6 кВ 14 шт.
Монтаж АВР 6кВ</v>
      </c>
      <c r="AK69" s="12" t="s">
        <v>91</v>
      </c>
      <c r="AL69" s="19"/>
      <c r="AM69" s="71">
        <f>SUM(D69:AJ69)</f>
        <v>42944.77678546794</v>
      </c>
      <c r="AN69" s="71">
        <f>'[2]2 цех_CapEx'!$V31</f>
        <v>42944.77678546794</v>
      </c>
      <c r="AO69" s="71">
        <f>AM69-AN69</f>
        <v>0</v>
      </c>
      <c r="AP69" s="62" t="s">
        <v>198</v>
      </c>
      <c r="AQ69" s="79" t="s">
        <v>201</v>
      </c>
    </row>
    <row r="70" spans="1:43" s="37" customFormat="1" ht="30">
      <c r="A70" s="78">
        <v>58</v>
      </c>
      <c r="B70" s="34" t="str">
        <f>'[2]2 цех_CapEx'!$B32</f>
        <v>ПС 35/6 кВ 2х4000 кВА "Благодаровская"</v>
      </c>
      <c r="C70" s="35">
        <f>'[2]2 цех_CapEx'!$W32</f>
        <v>1</v>
      </c>
      <c r="D70" s="36">
        <f>IF(D$2='[2]2 цех result'!$C32,'[2]2 цех_CapEx'!F32,0)</f>
        <v>0</v>
      </c>
      <c r="E70" s="36">
        <f>IF(D$2&gt;='[2]2 цех result'!$D32,'[2]2 цех_CapEx'!F32,0)</f>
        <v>0</v>
      </c>
      <c r="F70" s="36" t="str">
        <f>IF(D$2&gt;='[2]2 цех result'!$C32,$AK70,"")</f>
        <v/>
      </c>
      <c r="G70" s="36">
        <f>IF(G$2='[2]2 цех result'!$C32,'[2]2 цех_CapEx'!G32,0)</f>
        <v>0</v>
      </c>
      <c r="H70" s="36">
        <f>IF(G$2&gt;='[2]2 цех result'!$D32,'[2]2 цех_CapEx'!G32,0)</f>
        <v>0</v>
      </c>
      <c r="I70" s="36" t="str">
        <f>IF(G$2&gt;='[2]2 цех result'!$C32,$AK70,"")</f>
        <v/>
      </c>
      <c r="J70" s="36">
        <f>IF(J$2='[2]2 цех result'!$C32,'[2]2 цех_CapEx'!H32,0)</f>
        <v>0</v>
      </c>
      <c r="K70" s="36">
        <f>IF(J$2&gt;='[2]2 цех result'!$D32,'[2]2 цех_CapEx'!H32,0)</f>
        <v>0</v>
      </c>
      <c r="L70" s="36" t="str">
        <f>IF(J$2&gt;='[2]2 цех result'!$C32,$AK70,"")</f>
        <v/>
      </c>
      <c r="M70" s="36">
        <f>IF(M$2='[2]2 цех result'!$C32,'[2]2 цех_CapEx'!I32,0)</f>
        <v>0</v>
      </c>
      <c r="N70" s="36">
        <f>IF(M$2&gt;='[2]2 цех result'!$D32,'[2]2 цех_CapEx'!I32,0)</f>
        <v>0</v>
      </c>
      <c r="O70" s="36" t="str">
        <f>IF(M$2&gt;='[2]2 цех result'!$C32,$AK70,"")</f>
        <v/>
      </c>
      <c r="P70" s="36">
        <f>IF(P$2='[2]2 цех result'!$C32,'[2]2 цех_CapEx'!J32,0)</f>
        <v>0</v>
      </c>
      <c r="Q70" s="36">
        <f>IF(P$2&gt;='[2]2 цех result'!$D32,'[2]2 цех_CapEx'!J32,0)</f>
        <v>0</v>
      </c>
      <c r="R70" s="36" t="str">
        <f>IF(P$2&gt;='[2]2 цех result'!$C32,$AK70,"")</f>
        <v/>
      </c>
      <c r="S70" s="36">
        <f>IF(S$2='[2]2 цех result'!$C32,'[2]2 цех_CapEx'!K32,0)</f>
        <v>0</v>
      </c>
      <c r="T70" s="36">
        <f>IF(S$2&gt;='[2]2 цех result'!$D32,'[2]2 цех_CapEx'!K32,0)</f>
        <v>0</v>
      </c>
      <c r="U70" s="36" t="str">
        <f>IF(S$2&gt;='[2]2 цех result'!$C32,$AK70,"")</f>
        <v/>
      </c>
      <c r="V70" s="36">
        <f>IF(V$2='[2]2 цех result'!$C32,'[2]2 цех_CapEx'!L32,0)</f>
        <v>5.3859773298603466</v>
      </c>
      <c r="W70" s="36">
        <f>IF(V$2&gt;='[2]2 цех result'!$D32,'[2]2 цех_CapEx'!L32,0)</f>
        <v>0</v>
      </c>
      <c r="X70" s="36" t="str">
        <f>IF(V$2&gt;='[2]2 цех result'!$C32,$AK70,"")</f>
        <v>Монтаж АВР 6кВ</v>
      </c>
      <c r="Y70" s="36">
        <f>IF(Y$2='[2]2 цех result'!$C32,'[2]2 цех_CapEx'!M32,0)</f>
        <v>0</v>
      </c>
      <c r="Z70" s="36">
        <f>IF(Y$2&gt;='[2]2 цех result'!$D32,'[2]2 цех_CapEx'!M32,0)</f>
        <v>177.62953233879426</v>
      </c>
      <c r="AA70" s="36" t="str">
        <f>IF(Y$2&gt;='[2]2 цех result'!$C32,$AK70,"")</f>
        <v>Монтаж АВР 6кВ</v>
      </c>
      <c r="AB70" s="36">
        <f>IF(AB$2='[2]2 цех result'!$C32,'[2]2 цех_CapEx'!N32,0)</f>
        <v>0</v>
      </c>
      <c r="AC70" s="36">
        <f>IF(AB$2&gt;='[2]2 цех result'!$D32,'[2]2 цех_CapEx'!N32,0)</f>
        <v>0</v>
      </c>
      <c r="AD70" s="36" t="str">
        <f>IF(AB$2&gt;='[2]2 цех result'!$C32,$AK70,"")</f>
        <v>Монтаж АВР 6кВ</v>
      </c>
      <c r="AE70" s="36">
        <f>IF(AE$2='[2]2 цех result'!$C32,'[2]2 цех_CapEx'!O32,0)</f>
        <v>0</v>
      </c>
      <c r="AF70" s="36">
        <f>IF(AE$2&gt;='[2]2 цех result'!$D32,'[2]2 цех_CapEx'!O32,0)</f>
        <v>0</v>
      </c>
      <c r="AG70" s="36" t="str">
        <f>IF(AE$2&gt;='[2]2 цех result'!$C32,$AK70,"")</f>
        <v>Монтаж АВР 6кВ</v>
      </c>
      <c r="AH70" s="36">
        <f>IF(AH$2='[2]2 цех result'!$C32,'[2]2 цех_CapEx'!P32,0)</f>
        <v>0</v>
      </c>
      <c r="AI70" s="36">
        <f>IF(AH$2&gt;='[2]2 цех result'!$D32,'[2]2 цех_CapEx'!P32,0)</f>
        <v>0</v>
      </c>
      <c r="AJ70" s="36" t="str">
        <f>IF(AH$2&gt;='[2]2 цех result'!$C32,$AK70,"")</f>
        <v>Монтаж АВР 6кВ</v>
      </c>
      <c r="AK70" s="12" t="s">
        <v>71</v>
      </c>
      <c r="AL70" s="34"/>
      <c r="AM70" s="72">
        <f>SUM(D70:AJ70)</f>
        <v>183.0155096686546</v>
      </c>
      <c r="AN70" s="72">
        <f>'[2]2 цех_CapEx'!$V32</f>
        <v>183.0155096686546</v>
      </c>
      <c r="AO70" s="72">
        <f>AM70-AN70</f>
        <v>0</v>
      </c>
      <c r="AP70" s="62" t="s">
        <v>211</v>
      </c>
      <c r="AQ70" s="79" t="s">
        <v>201</v>
      </c>
    </row>
    <row r="71" spans="1:43" s="38" customFormat="1" hidden="1">
      <c r="A71" s="78">
        <f>A69+1</f>
        <v>58</v>
      </c>
      <c r="B71" s="39" t="s">
        <v>26</v>
      </c>
      <c r="C71" s="40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30"/>
      <c r="AL71" s="27"/>
      <c r="AM71" s="27"/>
      <c r="AN71" s="27"/>
      <c r="AO71" s="27"/>
      <c r="AP71" s="61"/>
      <c r="AQ71" s="77"/>
    </row>
    <row r="72" spans="1:43" ht="30">
      <c r="A72" s="78">
        <v>59</v>
      </c>
      <c r="B72" s="19" t="str">
        <f>'[2]2 цех_CapEx'!$B34</f>
        <v>ПС 220/110/6 кВ "Просвет"</v>
      </c>
      <c r="C72" s="32">
        <f>'[2]2 цех_CapEx'!$W34</f>
        <v>1</v>
      </c>
      <c r="D72" s="20">
        <f>IF(D$2='[2]2 цех result'!$C34,'[2]2 цех_CapEx'!F34,0)</f>
        <v>0</v>
      </c>
      <c r="E72" s="20">
        <f>IF(D$2&gt;='[2]2 цех result'!$D34,'[2]2 цех_CapEx'!F34,0)</f>
        <v>0</v>
      </c>
      <c r="F72" s="20" t="str">
        <f>IF(D$2&gt;='[2]2 цех result'!$C34,$AK72,"")</f>
        <v/>
      </c>
      <c r="G72" s="20">
        <f>IF(G$2='[2]2 цех result'!$C34,'[2]2 цех_CapEx'!G34,0)</f>
        <v>0</v>
      </c>
      <c r="H72" s="20">
        <f>IF(G$2&gt;='[2]2 цех result'!$D34,'[2]2 цех_CapEx'!G34,0)</f>
        <v>0</v>
      </c>
      <c r="I72" s="20" t="str">
        <f>IF(G$2&gt;='[2]2 цех result'!$C34,$AK72,"")</f>
        <v/>
      </c>
      <c r="J72" s="20">
        <f>IF(J$2='[2]2 цех result'!$C34,'[2]2 цех_CapEx'!H34,0)</f>
        <v>19665.832641879599</v>
      </c>
      <c r="K72" s="20">
        <f>IF(J$2&gt;='[2]2 цех result'!$D34,'[2]2 цех_CapEx'!H34,0)</f>
        <v>0</v>
      </c>
      <c r="L72" s="20" t="str">
        <f>IF(J$2&gt;='[2]2 цех result'!$C34,$AK72,"")</f>
        <v>Замена АТ 220/110/10 кВ 2*200 МВА - 2 шт.</v>
      </c>
      <c r="M72" s="20">
        <f>IF(M$2='[2]2 цех result'!$C34,'[2]2 цех_CapEx'!I34,0)</f>
        <v>0</v>
      </c>
      <c r="N72" s="20">
        <f>IF(M$2&gt;='[2]2 цех result'!$D34,'[2]2 цех_CapEx'!I34,0)</f>
        <v>669562.6039580747</v>
      </c>
      <c r="O72" s="20" t="str">
        <f>IF(M$2&gt;='[2]2 цех result'!$C34,$AK72,"")</f>
        <v>Замена АТ 220/110/10 кВ 2*200 МВА - 2 шт.</v>
      </c>
      <c r="P72" s="20">
        <f>IF(P$2='[2]2 цех result'!$C34,'[2]2 цех_CapEx'!J34,0)</f>
        <v>0</v>
      </c>
      <c r="Q72" s="20">
        <f>IF(P$2&gt;='[2]2 цех result'!$D34,'[2]2 цех_CapEx'!J34,0)</f>
        <v>0</v>
      </c>
      <c r="R72" s="20" t="str">
        <f>IF(P$2&gt;='[2]2 цех result'!$C34,$AK72,"")</f>
        <v>Замена АТ 220/110/10 кВ 2*200 МВА - 2 шт.</v>
      </c>
      <c r="S72" s="20">
        <f>IF(S$2='[2]2 цех result'!$C34,'[2]2 цех_CapEx'!K34,0)</f>
        <v>0</v>
      </c>
      <c r="T72" s="20">
        <f>IF(S$2&gt;='[2]2 цех result'!$D34,'[2]2 цех_CapEx'!K34,0)</f>
        <v>0</v>
      </c>
      <c r="U72" s="20" t="str">
        <f>IF(S$2&gt;='[2]2 цех result'!$C34,$AK72,"")</f>
        <v>Замена АТ 220/110/10 кВ 2*200 МВА - 2 шт.</v>
      </c>
      <c r="V72" s="20">
        <f>IF(V$2='[2]2 цех result'!$C34,'[2]2 цех_CapEx'!L34,0)</f>
        <v>0</v>
      </c>
      <c r="W72" s="20">
        <f>IF(V$2&gt;='[2]2 цех result'!$D34,'[2]2 цех_CapEx'!L34,0)</f>
        <v>0</v>
      </c>
      <c r="X72" s="20" t="str">
        <f>IF(V$2&gt;='[2]2 цех result'!$C34,$AK72,"")</f>
        <v>Замена АТ 220/110/10 кВ 2*200 МВА - 2 шт.</v>
      </c>
      <c r="Y72" s="20">
        <f>IF(Y$2='[2]2 цех result'!$C34,'[2]2 цех_CapEx'!M34,0)</f>
        <v>0</v>
      </c>
      <c r="Z72" s="20">
        <f>IF(Y$2&gt;='[2]2 цех result'!$D34,'[2]2 цех_CapEx'!M34,0)</f>
        <v>0</v>
      </c>
      <c r="AA72" s="20" t="str">
        <f>IF(Y$2&gt;='[2]2 цех result'!$C34,$AK72,"")</f>
        <v>Замена АТ 220/110/10 кВ 2*200 МВА - 2 шт.</v>
      </c>
      <c r="AB72" s="20">
        <f>IF(AB$2='[2]2 цех result'!$C34,'[2]2 цех_CapEx'!N34,0)</f>
        <v>0</v>
      </c>
      <c r="AC72" s="20">
        <f>IF(AB$2&gt;='[2]2 цех result'!$D34,'[2]2 цех_CapEx'!N34,0)</f>
        <v>0</v>
      </c>
      <c r="AD72" s="20" t="str">
        <f>IF(AB$2&gt;='[2]2 цех result'!$C34,$AK72,"")</f>
        <v>Замена АТ 220/110/10 кВ 2*200 МВА - 2 шт.</v>
      </c>
      <c r="AE72" s="20">
        <f>IF(AE$2='[2]2 цех result'!$C34,'[2]2 цех_CapEx'!O34,0)</f>
        <v>0</v>
      </c>
      <c r="AF72" s="20">
        <f>IF(AE$2&gt;='[2]2 цех result'!$D34,'[2]2 цех_CapEx'!O34,0)</f>
        <v>0</v>
      </c>
      <c r="AG72" s="20" t="str">
        <f>IF(AE$2&gt;='[2]2 цех result'!$C34,$AK72,"")</f>
        <v>Замена АТ 220/110/10 кВ 2*200 МВА - 2 шт.</v>
      </c>
      <c r="AH72" s="20">
        <f>IF(AH$2='[2]2 цех result'!$C34,'[2]2 цех_CapEx'!P34,0)</f>
        <v>0</v>
      </c>
      <c r="AI72" s="20">
        <f>IF(AH$2&gt;='[2]2 цех result'!$D34,'[2]2 цех_CapEx'!P34,0)</f>
        <v>0</v>
      </c>
      <c r="AJ72" s="20" t="str">
        <f>IF(AH$2&gt;='[2]2 цех result'!$C34,$AK72,"")</f>
        <v>Замена АТ 220/110/10 кВ 2*200 МВА - 2 шт.</v>
      </c>
      <c r="AK72" s="12" t="s">
        <v>92</v>
      </c>
      <c r="AL72" s="19"/>
      <c r="AM72" s="71">
        <f>SUM(D72:AJ72)</f>
        <v>689228.43659995426</v>
      </c>
      <c r="AN72" s="71">
        <f>'[2]2 цех_CapEx'!$V34</f>
        <v>689228.43659995426</v>
      </c>
      <c r="AO72" s="71">
        <f>AM72-AN72</f>
        <v>0</v>
      </c>
      <c r="AP72" s="62" t="s">
        <v>214</v>
      </c>
      <c r="AQ72" s="79" t="s">
        <v>201</v>
      </c>
    </row>
    <row r="73" spans="1:43" ht="409.5">
      <c r="A73" s="78">
        <v>60</v>
      </c>
      <c r="B73" s="19" t="str">
        <f>'[2]2 цех_CapEx'!$B38</f>
        <v>Строительство нового центра питания ПС 110/35/6 кВ Коммунарская"</v>
      </c>
      <c r="C73" s="32">
        <f>'[2]2 цех_CapEx'!$W38</f>
        <v>1</v>
      </c>
      <c r="D73" s="20">
        <f>IF(D$2='[2]2 цех result'!$C38,'[2]2 цех_CapEx'!F38,0)</f>
        <v>0</v>
      </c>
      <c r="E73" s="20">
        <f>IF(D$2&gt;='[2]2 цех result'!$D38,'[2]2 цех_CapEx'!F38,0)</f>
        <v>0</v>
      </c>
      <c r="F73" s="20" t="str">
        <f>IF(D$2&gt;='[2]2 цех result'!$C38,$AK73,"")</f>
        <v/>
      </c>
      <c r="G73" s="20">
        <f>IF(G$2='[2]2 цех result'!$C38,'[2]2 цех_CapEx'!G38,0)</f>
        <v>0</v>
      </c>
      <c r="H73" s="20">
        <f>IF(G$2&gt;='[2]2 цех result'!$D38,'[2]2 цех_CapEx'!G38,0)</f>
        <v>0</v>
      </c>
      <c r="I73" s="20" t="str">
        <f>IF(G$2&gt;='[2]2 цех result'!$C38,$AK73,"")</f>
        <v/>
      </c>
      <c r="J73" s="20">
        <f>IF(J$2='[2]2 цех result'!$C38,'[2]2 цех_CapEx'!H38,0)</f>
        <v>0</v>
      </c>
      <c r="K73" s="20">
        <f>IF(J$2&gt;='[2]2 цех result'!$D38,'[2]2 цех_CapEx'!H38,0)</f>
        <v>0</v>
      </c>
      <c r="L73" s="20" t="str">
        <f>IF(J$2&gt;='[2]2 цех result'!$C38,$AK73,"")</f>
        <v/>
      </c>
      <c r="M73" s="20">
        <f>IF(M$2='[2]2 цех result'!$C38,'[2]2 цех_CapEx'!I38,0)</f>
        <v>0</v>
      </c>
      <c r="N73" s="20">
        <f>IF(M$2&gt;='[2]2 цех result'!$D38,'[2]2 цех_CapEx'!I38,0)</f>
        <v>0</v>
      </c>
      <c r="O73" s="20" t="str">
        <f>IF(M$2&gt;='[2]2 цех result'!$C38,$AK73,"")</f>
        <v/>
      </c>
      <c r="P73" s="20">
        <f>IF(P$2='[2]2 цех result'!$C38,'[2]2 цех_CapEx'!J38,0)</f>
        <v>58692.194980319568</v>
      </c>
      <c r="Q73" s="20">
        <f>IF(P$2&gt;='[2]2 цех result'!$D38,'[2]2 цех_CapEx'!J38,0)</f>
        <v>0</v>
      </c>
      <c r="R73" s="20" t="str">
        <f>IF(P$2&gt;='[2]2 цех result'!$C38,$AK73,"")</f>
        <v>Установка:
СТ 110/35/6 кВ 16000 кВА - 2 шт.
ЭВ-110 кВ - 1000 А - 3 шт;
 ВВ-35 кВ - 1000 А - 4 + 1 шт. (присоединение ПС Чаганская); СВВ - 35 кВ - 1000 А - 1шт.
Установка дополнительных блоков ЭВ-110 кВ - 1000 А - 2 шт. для присоединения к ПС Комсомолец (МЭС "Волги")..                                                  
 Сооружение:
РУ 110 кВ по схеме 110-5АН. 
РУ 35 кВ по схеме мостик 35-9, КРУН-6 кВ
Строительство:
Двухцепная ВЛ 110 кВ - АС-120 - 2х17,5 км + 2х0,5 км ВЛ 110 кВ в габаритах 220 кВ
ВЛ 35 кВ - АС-95 - 0,5 км</v>
      </c>
      <c r="S73" s="20">
        <f>IF(S$2='[2]2 цех result'!$C38,'[2]2 цех_CapEx'!K38,0)</f>
        <v>0</v>
      </c>
      <c r="T73" s="20">
        <f>IF(S$2&gt;='[2]2 цех result'!$D38,'[2]2 цех_CapEx'!K38,0)</f>
        <v>0</v>
      </c>
      <c r="U73" s="20" t="str">
        <f>IF(S$2&gt;='[2]2 цех result'!$C38,$AK73,"")</f>
        <v>Установка:
СТ 110/35/6 кВ 16000 кВА - 2 шт.
ЭВ-110 кВ - 1000 А - 3 шт;
 ВВ-35 кВ - 1000 А - 4 + 1 шт. (присоединение ПС Чаганская); СВВ - 35 кВ - 1000 А - 1шт.
Установка дополнительных блоков ЭВ-110 кВ - 1000 А - 2 шт. для присоединения к ПС Комсомолец (МЭС "Волги")..                                                  
 Сооружение:
РУ 110 кВ по схеме 110-5АН. 
РУ 35 кВ по схеме мостик 35-9, КРУН-6 кВ
Строительство:
Двухцепная ВЛ 110 кВ - АС-120 - 2х17,5 км + 2х0,5 км ВЛ 110 кВ в габаритах 220 кВ
ВЛ 35 кВ - АС-95 - 0,5 км</v>
      </c>
      <c r="V73" s="20">
        <f>IF(V$2='[2]2 цех result'!$C38,'[2]2 цех_CapEx'!L38,0)</f>
        <v>0</v>
      </c>
      <c r="W73" s="20">
        <f>IF(V$2&gt;='[2]2 цех result'!$D38,'[2]2 цех_CapEx'!L38,0)</f>
        <v>509294.18541735056</v>
      </c>
      <c r="X73" s="20" t="str">
        <f>IF(V$2&gt;='[2]2 цех result'!$C38,$AK73,"")</f>
        <v>Установка:
СТ 110/35/6 кВ 16000 кВА - 2 шт.
ЭВ-110 кВ - 1000 А - 3 шт;
 ВВ-35 кВ - 1000 А - 4 + 1 шт. (присоединение ПС Чаганская); СВВ - 35 кВ - 1000 А - 1шт.
Установка дополнительных блоков ЭВ-110 кВ - 1000 А - 2 шт. для присоединения к ПС Комсомолец (МЭС "Волги")..                                                  
 Сооружение:
РУ 110 кВ по схеме 110-5АН. 
РУ 35 кВ по схеме мостик 35-9, КРУН-6 кВ
Строительство:
Двухцепная ВЛ 110 кВ - АС-120 - 2х17,5 км + 2х0,5 км ВЛ 110 кВ в габаритах 220 кВ
ВЛ 35 кВ - АС-95 - 0,5 км</v>
      </c>
      <c r="Y73" s="20">
        <f>IF(Y$2='[2]2 цех result'!$C38,'[2]2 цех_CapEx'!M38,0)</f>
        <v>0</v>
      </c>
      <c r="Z73" s="20">
        <f>IF(Y$2&gt;='[2]2 цех result'!$D38,'[2]2 цех_CapEx'!M38,0)</f>
        <v>519480.06912569754</v>
      </c>
      <c r="AA73" s="20" t="str">
        <f>IF(Y$2&gt;='[2]2 цех result'!$C38,$AK73,"")</f>
        <v>Установка:
СТ 110/35/6 кВ 16000 кВА - 2 шт.
ЭВ-110 кВ - 1000 А - 3 шт;
 ВВ-35 кВ - 1000 А - 4 + 1 шт. (присоединение ПС Чаганская); СВВ - 35 кВ - 1000 А - 1шт.
Установка дополнительных блоков ЭВ-110 кВ - 1000 А - 2 шт. для присоединения к ПС Комсомолец (МЭС "Волги")..                                                  
 Сооружение:
РУ 110 кВ по схеме 110-5АН. 
РУ 35 кВ по схеме мостик 35-9, КРУН-6 кВ
Строительство:
Двухцепная ВЛ 110 кВ - АС-120 - 2х17,5 км + 2х0,5 км ВЛ 110 кВ в габаритах 220 кВ
ВЛ 35 кВ - АС-95 - 0,5 км</v>
      </c>
      <c r="AB73" s="20">
        <f>IF(AB$2='[2]2 цех result'!$C38,'[2]2 цех_CapEx'!N38,0)</f>
        <v>0</v>
      </c>
      <c r="AC73" s="20">
        <f>IF(AB$2&gt;='[2]2 цех result'!$D38,'[2]2 цех_CapEx'!N38,0)</f>
        <v>0</v>
      </c>
      <c r="AD73" s="20" t="str">
        <f>IF(AB$2&gt;='[2]2 цех result'!$C38,$AK73,"")</f>
        <v>Установка:
СТ 110/35/6 кВ 16000 кВА - 2 шт.
ЭВ-110 кВ - 1000 А - 3 шт;
 ВВ-35 кВ - 1000 А - 4 + 1 шт. (присоединение ПС Чаганская); СВВ - 35 кВ - 1000 А - 1шт.
Установка дополнительных блоков ЭВ-110 кВ - 1000 А - 2 шт. для присоединения к ПС Комсомолец (МЭС "Волги")..                                                  
 Сооружение:
РУ 110 кВ по схеме 110-5АН. 
РУ 35 кВ по схеме мостик 35-9, КРУН-6 кВ
Строительство:
Двухцепная ВЛ 110 кВ - АС-120 - 2х17,5 км + 2х0,5 км ВЛ 110 кВ в габаритах 220 кВ
ВЛ 35 кВ - АС-95 - 0,5 км</v>
      </c>
      <c r="AE73" s="20">
        <f>IF(AE$2='[2]2 цех result'!$C38,'[2]2 цех_CapEx'!O38,0)</f>
        <v>0</v>
      </c>
      <c r="AF73" s="20">
        <f>IF(AE$2&gt;='[2]2 цех result'!$D38,'[2]2 цех_CapEx'!O38,0)</f>
        <v>0</v>
      </c>
      <c r="AG73" s="20" t="str">
        <f>IF(AE$2&gt;='[2]2 цех result'!$C38,$AK73,"")</f>
        <v>Установка:
СТ 110/35/6 кВ 16000 кВА - 2 шт.
ЭВ-110 кВ - 1000 А - 3 шт;
 ВВ-35 кВ - 1000 А - 4 + 1 шт. (присоединение ПС Чаганская); СВВ - 35 кВ - 1000 А - 1шт.
Установка дополнительных блоков ЭВ-110 кВ - 1000 А - 2 шт. для присоединения к ПС Комсомолец (МЭС "Волги")..                                                  
 Сооружение:
РУ 110 кВ по схеме 110-5АН. 
РУ 35 кВ по схеме мостик 35-9, КРУН-6 кВ
Строительство:
Двухцепная ВЛ 110 кВ - АС-120 - 2х17,5 км + 2х0,5 км ВЛ 110 кВ в габаритах 220 кВ
ВЛ 35 кВ - АС-95 - 0,5 км</v>
      </c>
      <c r="AH73" s="20">
        <f>IF(AH$2='[2]2 цех result'!$C38,'[2]2 цех_CapEx'!P38,0)</f>
        <v>0</v>
      </c>
      <c r="AI73" s="20">
        <f>IF(AH$2&gt;='[2]2 цех result'!$D38,'[2]2 цех_CapEx'!P38,0)</f>
        <v>0</v>
      </c>
      <c r="AJ73" s="20" t="str">
        <f>IF(AH$2&gt;='[2]2 цех result'!$C38,$AK73,"")</f>
        <v>Установка:
СТ 110/35/6 кВ 16000 кВА - 2 шт.
ЭВ-110 кВ - 1000 А - 3 шт;
 ВВ-35 кВ - 1000 А - 4 + 1 шт. (присоединение ПС Чаганская); СВВ - 35 кВ - 1000 А - 1шт.
Установка дополнительных блоков ЭВ-110 кВ - 1000 А - 2 шт. для присоединения к ПС Комсомолец (МЭС "Волги")..                                                  
 Сооружение:
РУ 110 кВ по схеме 110-5АН. 
РУ 35 кВ по схеме мостик 35-9, КРУН-6 кВ
Строительство:
Двухцепная ВЛ 110 кВ - АС-120 - 2х17,5 км + 2х0,5 км ВЛ 110 кВ в габаритах 220 кВ
ВЛ 35 кВ - АС-95 - 0,5 км</v>
      </c>
      <c r="AK73" s="12" t="s">
        <v>93</v>
      </c>
      <c r="AL73" s="19"/>
      <c r="AM73" s="71">
        <f>SUM(D73:AJ73)</f>
        <v>1087466.4495233677</v>
      </c>
      <c r="AN73" s="71">
        <f>'[2]2 цех_CapEx'!$V38</f>
        <v>1087466.4495233677</v>
      </c>
      <c r="AO73" s="71">
        <f>AM73-AN73</f>
        <v>0</v>
      </c>
      <c r="AP73" s="55" t="s">
        <v>215</v>
      </c>
      <c r="AQ73" s="79" t="s">
        <v>201</v>
      </c>
    </row>
    <row r="74" spans="1:43" s="38" customFormat="1" hidden="1">
      <c r="A74" s="78">
        <f>A72+1</f>
        <v>60</v>
      </c>
      <c r="B74" s="39" t="s">
        <v>27</v>
      </c>
      <c r="C74" s="40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30"/>
      <c r="AL74" s="27"/>
      <c r="AM74" s="27"/>
      <c r="AN74" s="27"/>
      <c r="AO74" s="27"/>
      <c r="AP74" s="61"/>
      <c r="AQ74" s="77"/>
    </row>
    <row r="75" spans="1:43" s="37" customFormat="1" ht="210">
      <c r="A75" s="78">
        <v>61</v>
      </c>
      <c r="B75" s="34" t="str">
        <f>'[2]2 цех_CapEx'!$B41</f>
        <v>ПС 35/6 кВ 1х4000 кВА "Богатырёвская"</v>
      </c>
      <c r="C75" s="35">
        <f>'[2]2 цех_CapEx'!$W41</f>
        <v>1</v>
      </c>
      <c r="D75" s="36">
        <f>IF(D$2='[2]2 цех result'!$C41,'[2]2 цех_CapEx'!F41,0)</f>
        <v>0</v>
      </c>
      <c r="E75" s="36">
        <f>IF(D$2&gt;='[2]2 цех result'!$D41,'[2]2 цех_CapEx'!F41,0)</f>
        <v>0</v>
      </c>
      <c r="F75" s="36" t="str">
        <f>IF(D$2&gt;='[2]2 цех result'!$C41,$AK75,"")</f>
        <v/>
      </c>
      <c r="G75" s="36">
        <f>IF(G$2='[2]2 цех result'!$C41,'[2]2 цех_CapEx'!G41,0)</f>
        <v>0</v>
      </c>
      <c r="H75" s="36">
        <f>IF(G$2&gt;='[2]2 цех result'!$D41,'[2]2 цех_CapEx'!G41,0)</f>
        <v>0</v>
      </c>
      <c r="I75" s="36" t="str">
        <f>IF(G$2&gt;='[2]2 цех result'!$C41,$AK75,"")</f>
        <v/>
      </c>
      <c r="J75" s="36">
        <f>IF(J$2='[2]2 цех result'!$C41,'[2]2 цех_CapEx'!H41,0)</f>
        <v>0</v>
      </c>
      <c r="K75" s="36">
        <f>IF(J$2&gt;='[2]2 цех result'!$D41,'[2]2 цех_CapEx'!H41,0)</f>
        <v>0</v>
      </c>
      <c r="L75" s="36" t="str">
        <f>IF(J$2&gt;='[2]2 цех result'!$C41,$AK75,"")</f>
        <v/>
      </c>
      <c r="M75" s="36">
        <f>IF(M$2='[2]2 цех result'!$C41,'[2]2 цех_CapEx'!I41,0)</f>
        <v>6089.9044411244276</v>
      </c>
      <c r="N75" s="36">
        <f>IF(M$2&gt;='[2]2 цех result'!$D41,'[2]2 цех_CapEx'!I41,0)</f>
        <v>0</v>
      </c>
      <c r="O75" s="36" t="str">
        <f>IF(M$2&gt;='[2]2 цех result'!$C41,$AK75,"")</f>
        <v>Установка 2-го Т-2-Т 35/6 кВ  6300 кВА - 2шт.  
Установка ВВ-35 кВ - 1000 А - 3 шт. + 1 (присоединение к ПС Субботинская)
Сооружение РУ по схеме мостик (35-5Н)
Строительство ВЛ 35 кВ - АС-95 - 7,3 км
Монтаж АВР 6кВ
Замена ячееек 6 кВ - 14 шт.</v>
      </c>
      <c r="P75" s="36">
        <f>IF(P$2='[2]2 цех result'!$C41,'[2]2 цех_CapEx'!J41,0)</f>
        <v>0</v>
      </c>
      <c r="Q75" s="36">
        <f>IF(P$2&gt;='[2]2 цех result'!$D41,'[2]2 цех_CapEx'!J41,0)</f>
        <v>83937.167973388408</v>
      </c>
      <c r="R75" s="36" t="str">
        <f>IF(P$2&gt;='[2]2 цех result'!$C41,$AK75,"")</f>
        <v>Установка 2-го Т-2-Т 35/6 кВ  6300 кВА - 2шт.  
Установка ВВ-35 кВ - 1000 А - 3 шт. + 1 (присоединение к ПС Субботинская)
Сооружение РУ по схеме мостик (35-5Н)
Строительство ВЛ 35 кВ - АС-95 - 7,3 км
Монтаж АВР 6кВ
Замена ячееек 6 кВ - 14 шт.</v>
      </c>
      <c r="S75" s="36">
        <f>IF(S$2='[2]2 цех result'!$C41,'[2]2 цех_CapEx'!K41,0)</f>
        <v>0</v>
      </c>
      <c r="T75" s="36">
        <f>IF(S$2&gt;='[2]2 цех result'!$D41,'[2]2 цех_CapEx'!K41,0)</f>
        <v>88553.712211924765</v>
      </c>
      <c r="U75" s="36" t="str">
        <f>IF(S$2&gt;='[2]2 цех result'!$C41,$AK75,"")</f>
        <v>Установка 2-го Т-2-Т 35/6 кВ  6300 кВА - 2шт.  
Установка ВВ-35 кВ - 1000 А - 3 шт. + 1 (присоединение к ПС Субботинская)
Сооружение РУ по схеме мостик (35-5Н)
Строительство ВЛ 35 кВ - АС-95 - 7,3 км
Монтаж АВР 6кВ
Замена ячееек 6 кВ - 14 шт.</v>
      </c>
      <c r="V75" s="36">
        <f>IF(V$2='[2]2 цех result'!$C41,'[2]2 цех_CapEx'!L41,0)</f>
        <v>0</v>
      </c>
      <c r="W75" s="36">
        <f>IF(V$2&gt;='[2]2 цех result'!$D41,'[2]2 цех_CapEx'!L41,0)</f>
        <v>0</v>
      </c>
      <c r="X75" s="36" t="str">
        <f>IF(V$2&gt;='[2]2 цех result'!$C41,$AK75,"")</f>
        <v>Установка 2-го Т-2-Т 35/6 кВ  6300 кВА - 2шт.  
Установка ВВ-35 кВ - 1000 А - 3 шт. + 1 (присоединение к ПС Субботинская)
Сооружение РУ по схеме мостик (35-5Н)
Строительство ВЛ 35 кВ - АС-95 - 7,3 км
Монтаж АВР 6кВ
Замена ячееек 6 кВ - 14 шт.</v>
      </c>
      <c r="Y75" s="36">
        <f>IF(Y$2='[2]2 цех result'!$C41,'[2]2 цех_CapEx'!M41,0)</f>
        <v>0</v>
      </c>
      <c r="Z75" s="36">
        <f>IF(Y$2&gt;='[2]2 цех result'!$D41,'[2]2 цех_CapEx'!M41,0)</f>
        <v>0</v>
      </c>
      <c r="AA75" s="36" t="str">
        <f>IF(Y$2&gt;='[2]2 цех result'!$C41,$AK75,"")</f>
        <v>Установка 2-го Т-2-Т 35/6 кВ  6300 кВА - 2шт.  
Установка ВВ-35 кВ - 1000 А - 3 шт. + 1 (присоединение к ПС Субботинская)
Сооружение РУ по схеме мостик (35-5Н)
Строительство ВЛ 35 кВ - АС-95 - 7,3 км
Монтаж АВР 6кВ
Замена ячееек 6 кВ - 14 шт.</v>
      </c>
      <c r="AB75" s="36">
        <f>IF(AB$2='[2]2 цех result'!$C41,'[2]2 цех_CapEx'!N41,0)</f>
        <v>0</v>
      </c>
      <c r="AC75" s="36">
        <f>IF(AB$2&gt;='[2]2 цех result'!$D41,'[2]2 цех_CapEx'!N41,0)</f>
        <v>0</v>
      </c>
      <c r="AD75" s="36" t="str">
        <f>IF(AB$2&gt;='[2]2 цех result'!$C41,$AK75,"")</f>
        <v>Установка 2-го Т-2-Т 35/6 кВ  6300 кВА - 2шт.  
Установка ВВ-35 кВ - 1000 А - 3 шт. + 1 (присоединение к ПС Субботинская)
Сооружение РУ по схеме мостик (35-5Н)
Строительство ВЛ 35 кВ - АС-95 - 7,3 км
Монтаж АВР 6кВ
Замена ячееек 6 кВ - 14 шт.</v>
      </c>
      <c r="AE75" s="36">
        <f>IF(AE$2='[2]2 цех result'!$C41,'[2]2 цех_CapEx'!O41,0)</f>
        <v>0</v>
      </c>
      <c r="AF75" s="36">
        <f>IF(AE$2&gt;='[2]2 цех result'!$D41,'[2]2 цех_CapEx'!O41,0)</f>
        <v>0</v>
      </c>
      <c r="AG75" s="36" t="str">
        <f>IF(AE$2&gt;='[2]2 цех result'!$C41,$AK75,"")</f>
        <v>Установка 2-го Т-2-Т 35/6 кВ  6300 кВА - 2шт.  
Установка ВВ-35 кВ - 1000 А - 3 шт. + 1 (присоединение к ПС Субботинская)
Сооружение РУ по схеме мостик (35-5Н)
Строительство ВЛ 35 кВ - АС-95 - 7,3 км
Монтаж АВР 6кВ
Замена ячееек 6 кВ - 14 шт.</v>
      </c>
      <c r="AH75" s="36">
        <f>IF(AH$2='[2]2 цех result'!$C41,'[2]2 цех_CapEx'!P41,0)</f>
        <v>0</v>
      </c>
      <c r="AI75" s="36">
        <f>IF(AH$2&gt;='[2]2 цех result'!$D41,'[2]2 цех_CapEx'!P41,0)</f>
        <v>0</v>
      </c>
      <c r="AJ75" s="36" t="str">
        <f>IF(AH$2&gt;='[2]2 цех result'!$C41,$AK75,"")</f>
        <v>Установка 2-го Т-2-Т 35/6 кВ  6300 кВА - 2шт.  
Установка ВВ-35 кВ - 1000 А - 3 шт. + 1 (присоединение к ПС Субботинская)
Сооружение РУ по схеме мостик (35-5Н)
Строительство ВЛ 35 кВ - АС-95 - 7,3 км
Монтаж АВР 6кВ
Замена ячееек 6 кВ - 14 шт.</v>
      </c>
      <c r="AK75" s="12" t="s">
        <v>94</v>
      </c>
      <c r="AL75" s="34"/>
      <c r="AM75" s="72">
        <f>SUM(D75:AJ75)</f>
        <v>178580.78462643758</v>
      </c>
      <c r="AN75" s="72">
        <f>'[2]2 цех_CapEx'!$V41</f>
        <v>178580.78462643758</v>
      </c>
      <c r="AO75" s="72">
        <f>AM75-AN75</f>
        <v>0</v>
      </c>
      <c r="AP75" s="55" t="s">
        <v>216</v>
      </c>
      <c r="AQ75" s="79" t="s">
        <v>201</v>
      </c>
    </row>
    <row r="76" spans="1:43" ht="135">
      <c r="A76" s="78">
        <v>62</v>
      </c>
      <c r="B76" s="19" t="str">
        <f>'[2]2 цех_CapEx'!$B42</f>
        <v>ПС 35/6 кВ 1х4000 кВА "Кулешовская"</v>
      </c>
      <c r="C76" s="32">
        <f>'[2]2 цех_CapEx'!$W42</f>
        <v>1</v>
      </c>
      <c r="D76" s="20">
        <f>IF(D$2='[2]2 цех result'!$C42,'[2]2 цех_CapEx'!F42,0)</f>
        <v>0</v>
      </c>
      <c r="E76" s="20">
        <f>IF(D$2&gt;='[2]2 цех result'!$D42,'[2]2 цех_CapEx'!F42,0)</f>
        <v>0</v>
      </c>
      <c r="F76" s="20" t="str">
        <f>IF(D$2&gt;='[2]2 цех result'!$C42,$AK76,"")</f>
        <v/>
      </c>
      <c r="G76" s="20">
        <f>IF(G$2='[2]2 цех result'!$C42,'[2]2 цех_CapEx'!G42,0)</f>
        <v>3064.64239206</v>
      </c>
      <c r="H76" s="20">
        <f>IF(G$2&gt;='[2]2 цех result'!$D42,'[2]2 цех_CapEx'!G42,0)</f>
        <v>0</v>
      </c>
      <c r="I76" s="20" t="str">
        <f>IF(G$2&gt;='[2]2 цех result'!$C42,$AK76,"")</f>
        <v xml:space="preserve"> 2-хтрансформаторная ПС - 1 шт. 
Установка Т-1,2-Т 35/6 кВ 6300 кВА - 2 шт.                                                      
Установка ВВ-35 кВ 1000 А - 3 шт.
Сооружение РУ по схеме мостик (35-5Н)</v>
      </c>
      <c r="J76" s="20">
        <f>IF(J$2='[2]2 цех result'!$C42,'[2]2 цех_CapEx'!H42,0)</f>
        <v>0</v>
      </c>
      <c r="K76" s="20">
        <f>IF(J$2&gt;='[2]2 цех result'!$D42,'[2]2 цех_CapEx'!H42,0)</f>
        <v>0</v>
      </c>
      <c r="L76" s="20" t="str">
        <f>IF(J$2&gt;='[2]2 цех result'!$C42,$AK76,"")</f>
        <v xml:space="preserve"> 2-хтрансформаторная ПС - 1 шт. 
Установка Т-1,2-Т 35/6 кВ 6300 кВА - 2 шт.                                                      
Установка ВВ-35 кВ 1000 А - 3 шт.
Сооружение РУ по схеме мостик (35-5Н)</v>
      </c>
      <c r="M76" s="20">
        <f>IF(M$2='[2]2 цех result'!$C42,'[2]2 цех_CapEx'!I42,0)</f>
        <v>0</v>
      </c>
      <c r="N76" s="20">
        <f>IF(M$2&gt;='[2]2 цех result'!$D42,'[2]2 цех_CapEx'!I42,0)</f>
        <v>110602.39229381483</v>
      </c>
      <c r="O76" s="20" t="str">
        <f>IF(M$2&gt;='[2]2 цех result'!$C42,$AK76,"")</f>
        <v xml:space="preserve"> 2-хтрансформаторная ПС - 1 шт. 
Установка Т-1,2-Т 35/6 кВ 6300 кВА - 2 шт.                                                      
Установка ВВ-35 кВ 1000 А - 3 шт.
Сооружение РУ по схеме мостик (35-5Н)</v>
      </c>
      <c r="P76" s="20">
        <f>IF(P$2='[2]2 цех result'!$C42,'[2]2 цех_CapEx'!J42,0)</f>
        <v>0</v>
      </c>
      <c r="Q76" s="20">
        <f>IF(P$2&gt;='[2]2 цех result'!$D42,'[2]2 цех_CapEx'!J42,0)</f>
        <v>0</v>
      </c>
      <c r="R76" s="20" t="str">
        <f>IF(P$2&gt;='[2]2 цех result'!$C42,$AK76,"")</f>
        <v xml:space="preserve"> 2-хтрансформаторная ПС - 1 шт. 
Установка Т-1,2-Т 35/6 кВ 6300 кВА - 2 шт.                                                      
Установка ВВ-35 кВ 1000 А - 3 шт.
Сооружение РУ по схеме мостик (35-5Н)</v>
      </c>
      <c r="S76" s="20">
        <f>IF(S$2='[2]2 цех result'!$C42,'[2]2 цех_CapEx'!K42,0)</f>
        <v>0</v>
      </c>
      <c r="T76" s="20">
        <f>IF(S$2&gt;='[2]2 цех result'!$D42,'[2]2 цех_CapEx'!K42,0)</f>
        <v>0</v>
      </c>
      <c r="U76" s="20" t="str">
        <f>IF(S$2&gt;='[2]2 цех result'!$C42,$AK76,"")</f>
        <v xml:space="preserve"> 2-хтрансформаторная ПС - 1 шт. 
Установка Т-1,2-Т 35/6 кВ 6300 кВА - 2 шт.                                                      
Установка ВВ-35 кВ 1000 А - 3 шт.
Сооружение РУ по схеме мостик (35-5Н)</v>
      </c>
      <c r="V76" s="20">
        <f>IF(V$2='[2]2 цех result'!$C42,'[2]2 цех_CapEx'!L42,0)</f>
        <v>0</v>
      </c>
      <c r="W76" s="20">
        <f>IF(V$2&gt;='[2]2 цех result'!$D42,'[2]2 цех_CapEx'!L42,0)</f>
        <v>0</v>
      </c>
      <c r="X76" s="20" t="str">
        <f>IF(V$2&gt;='[2]2 цех result'!$C42,$AK76,"")</f>
        <v xml:space="preserve"> 2-хтрансформаторная ПС - 1 шт. 
Установка Т-1,2-Т 35/6 кВ 6300 кВА - 2 шт.                                                      
Установка ВВ-35 кВ 1000 А - 3 шт.
Сооружение РУ по схеме мостик (35-5Н)</v>
      </c>
      <c r="Y76" s="20">
        <f>IF(Y$2='[2]2 цех result'!$C42,'[2]2 цех_CapEx'!M42,0)</f>
        <v>0</v>
      </c>
      <c r="Z76" s="20">
        <f>IF(Y$2&gt;='[2]2 цех result'!$D42,'[2]2 цех_CapEx'!M42,0)</f>
        <v>0</v>
      </c>
      <c r="AA76" s="20" t="str">
        <f>IF(Y$2&gt;='[2]2 цех result'!$C42,$AK76,"")</f>
        <v xml:space="preserve"> 2-хтрансформаторная ПС - 1 шт. 
Установка Т-1,2-Т 35/6 кВ 6300 кВА - 2 шт.                                                      
Установка ВВ-35 кВ 1000 А - 3 шт.
Сооружение РУ по схеме мостик (35-5Н)</v>
      </c>
      <c r="AB76" s="20">
        <f>IF(AB$2='[2]2 цех result'!$C42,'[2]2 цех_CapEx'!N42,0)</f>
        <v>0</v>
      </c>
      <c r="AC76" s="20">
        <f>IF(AB$2&gt;='[2]2 цех result'!$D42,'[2]2 цех_CapEx'!N42,0)</f>
        <v>0</v>
      </c>
      <c r="AD76" s="20" t="str">
        <f>IF(AB$2&gt;='[2]2 цех result'!$C42,$AK76,"")</f>
        <v xml:space="preserve"> 2-хтрансформаторная ПС - 1 шт. 
Установка Т-1,2-Т 35/6 кВ 6300 кВА - 2 шт.                                                      
Установка ВВ-35 кВ 1000 А - 3 шт.
Сооружение РУ по схеме мостик (35-5Н)</v>
      </c>
      <c r="AE76" s="20">
        <f>IF(AE$2='[2]2 цех result'!$C42,'[2]2 цех_CapEx'!O42,0)</f>
        <v>0</v>
      </c>
      <c r="AF76" s="20">
        <f>IF(AE$2&gt;='[2]2 цех result'!$D42,'[2]2 цех_CapEx'!O42,0)</f>
        <v>0</v>
      </c>
      <c r="AG76" s="20" t="str">
        <f>IF(AE$2&gt;='[2]2 цех result'!$C42,$AK76,"")</f>
        <v xml:space="preserve"> 2-хтрансформаторная ПС - 1 шт. 
Установка Т-1,2-Т 35/6 кВ 6300 кВА - 2 шт.                                                      
Установка ВВ-35 кВ 1000 А - 3 шт.
Сооружение РУ по схеме мостик (35-5Н)</v>
      </c>
      <c r="AH76" s="20">
        <f>IF(AH$2='[2]2 цех result'!$C42,'[2]2 цех_CapEx'!P42,0)</f>
        <v>0</v>
      </c>
      <c r="AI76" s="20">
        <f>IF(AH$2&gt;='[2]2 цех result'!$D42,'[2]2 цех_CapEx'!P42,0)</f>
        <v>0</v>
      </c>
      <c r="AJ76" s="20" t="str">
        <f>IF(AH$2&gt;='[2]2 цех result'!$C42,$AK76,"")</f>
        <v xml:space="preserve"> 2-хтрансформаторная ПС - 1 шт. 
Установка Т-1,2-Т 35/6 кВ 6300 кВА - 2 шт.                                                      
Установка ВВ-35 кВ 1000 А - 3 шт.
Сооружение РУ по схеме мостик (35-5Н)</v>
      </c>
      <c r="AK76" s="12" t="s">
        <v>95</v>
      </c>
      <c r="AL76" s="19"/>
      <c r="AM76" s="71">
        <f>SUM(D76:AJ76)</f>
        <v>113667.03468587484</v>
      </c>
      <c r="AN76" s="71">
        <f>'[2]2 цех_CapEx'!$V42</f>
        <v>113667.03468587484</v>
      </c>
      <c r="AO76" s="71">
        <f>AM76-AN76</f>
        <v>0</v>
      </c>
      <c r="AP76" s="276" t="s">
        <v>217</v>
      </c>
      <c r="AQ76" s="277" t="s">
        <v>201</v>
      </c>
    </row>
    <row r="77" spans="1:43" ht="60">
      <c r="A77" s="78">
        <v>63</v>
      </c>
      <c r="B77" s="19" t="str">
        <f>'[2]2 цех_CapEx'!$B43</f>
        <v>ПС 35/6 кВ 1х4000 кВА "Кулешовская" (строительство ВЛ 35 кВ и АВР)</v>
      </c>
      <c r="C77" s="32">
        <f>'[2]2 цех_CapEx'!$W43</f>
        <v>1</v>
      </c>
      <c r="D77" s="20">
        <f>IF(D$2='[2]2 цех result'!$C43,'[2]2 цех_CapEx'!F43,0)</f>
        <v>0</v>
      </c>
      <c r="E77" s="20">
        <f>IF(D$2&gt;='[2]2 цех result'!$D43,'[2]2 цех_CapEx'!F43,0)</f>
        <v>0</v>
      </c>
      <c r="F77" s="20" t="str">
        <f>IF(D$2&gt;='[2]2 цех result'!$C43,$AK77,"")</f>
        <v/>
      </c>
      <c r="G77" s="20">
        <f>IF(G$2='[2]2 цех result'!$C43,'[2]2 цех_CapEx'!G43,0)</f>
        <v>2297.6614866150003</v>
      </c>
      <c r="H77" s="20">
        <f>IF(G$2&gt;='[2]2 цех result'!$D43,'[2]2 цех_CapEx'!G43,0)</f>
        <v>0</v>
      </c>
      <c r="I77" s="20" t="str">
        <f>IF(G$2&gt;='[2]2 цех result'!$C43,$AK77,"")</f>
        <v>Строительство ВЛ 35 кВ - АС-95 - 8 км
Установка АВР 35 и 6 кВ</v>
      </c>
      <c r="J77" s="20">
        <f>IF(J$2='[2]2 цех result'!$C43,'[2]2 цех_CapEx'!H43,0)</f>
        <v>0</v>
      </c>
      <c r="K77" s="20">
        <f>IF(J$2&gt;='[2]2 цех result'!$D43,'[2]2 цех_CapEx'!H43,0)</f>
        <v>0</v>
      </c>
      <c r="L77" s="20" t="str">
        <f>IF(J$2&gt;='[2]2 цех result'!$C43,$AK77,"")</f>
        <v>Строительство ВЛ 35 кВ - АС-95 - 8 км
Установка АВР 35 и 6 кВ</v>
      </c>
      <c r="M77" s="20">
        <f>IF(M$2='[2]2 цех result'!$C43,'[2]2 цех_CapEx'!I43,0)</f>
        <v>0</v>
      </c>
      <c r="N77" s="20">
        <f>IF(M$2&gt;='[2]2 цех result'!$D43,'[2]2 цех_CapEx'!I43,0)</f>
        <v>0</v>
      </c>
      <c r="O77" s="20" t="str">
        <f>IF(M$2&gt;='[2]2 цех result'!$C43,$AK77,"")</f>
        <v>Строительство ВЛ 35 кВ - АС-95 - 8 км
Установка АВР 35 и 6 кВ</v>
      </c>
      <c r="P77" s="20">
        <f>IF(P$2='[2]2 цех result'!$C43,'[2]2 цех_CapEx'!J43,0)</f>
        <v>0</v>
      </c>
      <c r="Q77" s="20">
        <f>IF(P$2&gt;='[2]2 цех result'!$D43,'[2]2 цех_CapEx'!J43,0)</f>
        <v>42867.964943414256</v>
      </c>
      <c r="R77" s="20" t="str">
        <f>IF(P$2&gt;='[2]2 цех result'!$C43,$AK77,"")</f>
        <v>Строительство ВЛ 35 кВ - АС-95 - 8 км
Установка АВР 35 и 6 кВ</v>
      </c>
      <c r="S77" s="20">
        <f>IF(S$2='[2]2 цех result'!$C43,'[2]2 цех_CapEx'!K43,0)</f>
        <v>0</v>
      </c>
      <c r="T77" s="20">
        <f>IF(S$2&gt;='[2]2 цех result'!$D43,'[2]2 цех_CapEx'!K43,0)</f>
        <v>0</v>
      </c>
      <c r="U77" s="20" t="str">
        <f>IF(S$2&gt;='[2]2 цех result'!$C43,$AK77,"")</f>
        <v>Строительство ВЛ 35 кВ - АС-95 - 8 км
Установка АВР 35 и 6 кВ</v>
      </c>
      <c r="V77" s="20">
        <f>IF(V$2='[2]2 цех result'!$C43,'[2]2 цех_CapEx'!L43,0)</f>
        <v>0</v>
      </c>
      <c r="W77" s="20">
        <f>IF(V$2&gt;='[2]2 цех result'!$D43,'[2]2 цех_CapEx'!L43,0)</f>
        <v>0</v>
      </c>
      <c r="X77" s="20" t="str">
        <f>IF(V$2&gt;='[2]2 цех result'!$C43,$AK77,"")</f>
        <v>Строительство ВЛ 35 кВ - АС-95 - 8 км
Установка АВР 35 и 6 кВ</v>
      </c>
      <c r="Y77" s="20">
        <f>IF(Y$2='[2]2 цех result'!$C43,'[2]2 цех_CapEx'!M43,0)</f>
        <v>0</v>
      </c>
      <c r="Z77" s="20">
        <f>IF(Y$2&gt;='[2]2 цех result'!$D43,'[2]2 цех_CapEx'!M43,0)</f>
        <v>0</v>
      </c>
      <c r="AA77" s="20" t="str">
        <f>IF(Y$2&gt;='[2]2 цех result'!$C43,$AK77,"")</f>
        <v>Строительство ВЛ 35 кВ - АС-95 - 8 км
Установка АВР 35 и 6 кВ</v>
      </c>
      <c r="AB77" s="20">
        <f>IF(AB$2='[2]2 цех result'!$C43,'[2]2 цех_CapEx'!N43,0)</f>
        <v>0</v>
      </c>
      <c r="AC77" s="20">
        <f>IF(AB$2&gt;='[2]2 цех result'!$D43,'[2]2 цех_CapEx'!N43,0)</f>
        <v>0</v>
      </c>
      <c r="AD77" s="20" t="str">
        <f>IF(AB$2&gt;='[2]2 цех result'!$C43,$AK77,"")</f>
        <v>Строительство ВЛ 35 кВ - АС-95 - 8 км
Установка АВР 35 и 6 кВ</v>
      </c>
      <c r="AE77" s="20">
        <f>IF(AE$2='[2]2 цех result'!$C43,'[2]2 цех_CapEx'!O43,0)</f>
        <v>0</v>
      </c>
      <c r="AF77" s="20">
        <f>IF(AE$2&gt;='[2]2 цех result'!$D43,'[2]2 цех_CapEx'!O43,0)</f>
        <v>0</v>
      </c>
      <c r="AG77" s="20" t="str">
        <f>IF(AE$2&gt;='[2]2 цех result'!$C43,$AK77,"")</f>
        <v>Строительство ВЛ 35 кВ - АС-95 - 8 км
Установка АВР 35 и 6 кВ</v>
      </c>
      <c r="AH77" s="20">
        <f>IF(AH$2='[2]2 цех result'!$C43,'[2]2 цех_CapEx'!P43,0)</f>
        <v>0</v>
      </c>
      <c r="AI77" s="20">
        <f>IF(AH$2&gt;='[2]2 цех result'!$D43,'[2]2 цех_CapEx'!P43,0)</f>
        <v>0</v>
      </c>
      <c r="AJ77" s="20" t="str">
        <f>IF(AH$2&gt;='[2]2 цех result'!$C43,$AK77,"")</f>
        <v>Строительство ВЛ 35 кВ - АС-95 - 8 км
Установка АВР 35 и 6 кВ</v>
      </c>
      <c r="AK77" s="12" t="s">
        <v>96</v>
      </c>
      <c r="AL77" s="19"/>
      <c r="AM77" s="71">
        <f>SUM(D77:AJ77)</f>
        <v>45165.626430029253</v>
      </c>
      <c r="AN77" s="71">
        <f>'[2]2 цех_CapEx'!$V43</f>
        <v>45165.626430029253</v>
      </c>
      <c r="AO77" s="71">
        <f>AM77-AN77</f>
        <v>0</v>
      </c>
      <c r="AP77" s="276"/>
      <c r="AQ77" s="277"/>
    </row>
    <row r="78" spans="1:43" s="37" customFormat="1" ht="165">
      <c r="A78" s="78">
        <v>64</v>
      </c>
      <c r="B78" s="34" t="str">
        <f>'[2]2 цех_CapEx'!$B44</f>
        <v>ПС 35/6 кВ 1х4000 кВА "Покровская"</v>
      </c>
      <c r="C78" s="35">
        <f>'[2]2 цех_CapEx'!$W44</f>
        <v>1</v>
      </c>
      <c r="D78" s="36">
        <f>IF(D$2='[2]2 цех result'!$C44,'[2]2 цех_CapEx'!F44,0)</f>
        <v>0</v>
      </c>
      <c r="E78" s="36">
        <f>IF(D$2&gt;='[2]2 цех result'!$D44,'[2]2 цех_CapEx'!F44,0)</f>
        <v>0</v>
      </c>
      <c r="F78" s="36" t="str">
        <f>IF(D$2&gt;='[2]2 цех result'!$C44,$AK78,"")</f>
        <v/>
      </c>
      <c r="G78" s="36">
        <f>IF(G$2='[2]2 цех result'!$C44,'[2]2 цех_CapEx'!G44,0)</f>
        <v>0</v>
      </c>
      <c r="H78" s="36">
        <f>IF(G$2&gt;='[2]2 цех result'!$D44,'[2]2 цех_CapEx'!G44,0)</f>
        <v>0</v>
      </c>
      <c r="I78" s="36" t="str">
        <f>IF(G$2&gt;='[2]2 цех result'!$C44,$AK78,"")</f>
        <v/>
      </c>
      <c r="J78" s="36">
        <f>IF(J$2='[2]2 цех result'!$C44,'[2]2 цех_CapEx'!H44,0)</f>
        <v>0</v>
      </c>
      <c r="K78" s="36">
        <f>IF(J$2&gt;='[2]2 цех result'!$D44,'[2]2 цех_CapEx'!H44,0)</f>
        <v>0</v>
      </c>
      <c r="L78" s="36" t="str">
        <f>IF(J$2&gt;='[2]2 цех result'!$C44,$AK78,"")</f>
        <v/>
      </c>
      <c r="M78" s="36">
        <f>IF(M$2='[2]2 цех result'!$C44,'[2]2 цех_CapEx'!I44,0)</f>
        <v>0</v>
      </c>
      <c r="N78" s="36">
        <f>IF(M$2&gt;='[2]2 цех result'!$D44,'[2]2 цех_CapEx'!I44,0)</f>
        <v>0</v>
      </c>
      <c r="O78" s="36" t="str">
        <f>IF(M$2&gt;='[2]2 цех result'!$C44,$AK78,"")</f>
        <v/>
      </c>
      <c r="P78" s="36">
        <f>IF(P$2='[2]2 цех result'!$C44,'[2]2 цех_CapEx'!J44,0)</f>
        <v>5327.6029933489654</v>
      </c>
      <c r="Q78" s="36">
        <f>IF(P$2&gt;='[2]2 цех result'!$D44,'[2]2 цех_CapEx'!J44,0)</f>
        <v>0</v>
      </c>
      <c r="R78" s="36" t="str">
        <f>IF(P$2&gt;='[2]2 цех result'!$C44,$AK78,"")</f>
        <v>Установка  Т-1,2-Т 35/6 кВ 6300 кВА - 2 шт.; 
Установка ВВ-35 кВ - 1000 А- 3 шт. 
Строительство РУ по схеме 35-5Н
Строительство ВЛ 35 кВ - АС-95 - 5 км
Строительство КРУН - 6 кВ - ВВ - 12 яч.</v>
      </c>
      <c r="S78" s="36">
        <f>IF(S$2='[2]2 цех result'!$C44,'[2]2 цех_CapEx'!K44,0)</f>
        <v>0</v>
      </c>
      <c r="T78" s="36">
        <f>IF(S$2&gt;='[2]2 цех result'!$D44,'[2]2 цех_CapEx'!K44,0)</f>
        <v>151932.7003839594</v>
      </c>
      <c r="U78" s="36" t="str">
        <f>IF(S$2&gt;='[2]2 цех result'!$C44,$AK78,"")</f>
        <v>Установка  Т-1,2-Т 35/6 кВ 6300 кВА - 2 шт.; 
Установка ВВ-35 кВ - 1000 А- 3 шт. 
Строительство РУ по схеме 35-5Н
Строительство ВЛ 35 кВ - АС-95 - 5 км
Строительство КРУН - 6 кВ - ВВ - 12 яч.</v>
      </c>
      <c r="V78" s="36">
        <f>IF(V$2='[2]2 цех result'!$C44,'[2]2 цех_CapEx'!L44,0)</f>
        <v>0</v>
      </c>
      <c r="W78" s="36">
        <f>IF(V$2&gt;='[2]2 цех result'!$D44,'[2]2 цех_CapEx'!L44,0)</f>
        <v>0</v>
      </c>
      <c r="X78" s="36" t="str">
        <f>IF(V$2&gt;='[2]2 цех result'!$C44,$AK78,"")</f>
        <v>Установка  Т-1,2-Т 35/6 кВ 6300 кВА - 2 шт.; 
Установка ВВ-35 кВ - 1000 А- 3 шт. 
Строительство РУ по схеме 35-5Н
Строительство ВЛ 35 кВ - АС-95 - 5 км
Строительство КРУН - 6 кВ - ВВ - 12 яч.</v>
      </c>
      <c r="Y78" s="36">
        <f>IF(Y$2='[2]2 цех result'!$C44,'[2]2 цех_CapEx'!M44,0)</f>
        <v>0</v>
      </c>
      <c r="Z78" s="36">
        <f>IF(Y$2&gt;='[2]2 цех result'!$D44,'[2]2 цех_CapEx'!M44,0)</f>
        <v>0</v>
      </c>
      <c r="AA78" s="36" t="str">
        <f>IF(Y$2&gt;='[2]2 цех result'!$C44,$AK78,"")</f>
        <v>Установка  Т-1,2-Т 35/6 кВ 6300 кВА - 2 шт.; 
Установка ВВ-35 кВ - 1000 А- 3 шт. 
Строительство РУ по схеме 35-5Н
Строительство ВЛ 35 кВ - АС-95 - 5 км
Строительство КРУН - 6 кВ - ВВ - 12 яч.</v>
      </c>
      <c r="AB78" s="36">
        <f>IF(AB$2='[2]2 цех result'!$C44,'[2]2 цех_CapEx'!N44,0)</f>
        <v>0</v>
      </c>
      <c r="AC78" s="36">
        <f>IF(AB$2&gt;='[2]2 цех result'!$D44,'[2]2 цех_CapEx'!N44,0)</f>
        <v>0</v>
      </c>
      <c r="AD78" s="36" t="str">
        <f>IF(AB$2&gt;='[2]2 цех result'!$C44,$AK78,"")</f>
        <v>Установка  Т-1,2-Т 35/6 кВ 6300 кВА - 2 шт.; 
Установка ВВ-35 кВ - 1000 А- 3 шт. 
Строительство РУ по схеме 35-5Н
Строительство ВЛ 35 кВ - АС-95 - 5 км
Строительство КРУН - 6 кВ - ВВ - 12 яч.</v>
      </c>
      <c r="AE78" s="36">
        <f>IF(AE$2='[2]2 цех result'!$C44,'[2]2 цех_CapEx'!O44,0)</f>
        <v>0</v>
      </c>
      <c r="AF78" s="36">
        <f>IF(AE$2&gt;='[2]2 цех result'!$D44,'[2]2 цех_CapEx'!O44,0)</f>
        <v>0</v>
      </c>
      <c r="AG78" s="36" t="str">
        <f>IF(AE$2&gt;='[2]2 цех result'!$C44,$AK78,"")</f>
        <v>Установка  Т-1,2-Т 35/6 кВ 6300 кВА - 2 шт.; 
Установка ВВ-35 кВ - 1000 А- 3 шт. 
Строительство РУ по схеме 35-5Н
Строительство ВЛ 35 кВ - АС-95 - 5 км
Строительство КРУН - 6 кВ - ВВ - 12 яч.</v>
      </c>
      <c r="AH78" s="36">
        <f>IF(AH$2='[2]2 цех result'!$C44,'[2]2 цех_CapEx'!P44,0)</f>
        <v>0</v>
      </c>
      <c r="AI78" s="36">
        <f>IF(AH$2&gt;='[2]2 цех result'!$D44,'[2]2 цех_CapEx'!P44,0)</f>
        <v>0</v>
      </c>
      <c r="AJ78" s="36" t="str">
        <f>IF(AH$2&gt;='[2]2 цех result'!$C44,$AK78,"")</f>
        <v>Установка  Т-1,2-Т 35/6 кВ 6300 кВА - 2 шт.; 
Установка ВВ-35 кВ - 1000 А- 3 шт. 
Строительство РУ по схеме 35-5Н
Строительство ВЛ 35 кВ - АС-95 - 5 км
Строительство КРУН - 6 кВ - ВВ - 12 яч.</v>
      </c>
      <c r="AK78" s="12" t="s">
        <v>88</v>
      </c>
      <c r="AL78" s="34"/>
      <c r="AM78" s="72">
        <f>SUM(D78:AJ78)</f>
        <v>157260.30337730836</v>
      </c>
      <c r="AN78" s="72">
        <f>'[2]2 цех_CapEx'!$V44</f>
        <v>157260.30337730836</v>
      </c>
      <c r="AO78" s="72">
        <f>AM78-AN78</f>
        <v>0</v>
      </c>
      <c r="AP78" s="62" t="s">
        <v>224</v>
      </c>
      <c r="AQ78" s="79" t="s">
        <v>201</v>
      </c>
    </row>
    <row r="79" spans="1:43" s="25" customFormat="1">
      <c r="A79" s="80">
        <v>65</v>
      </c>
      <c r="B79" s="22" t="s">
        <v>28</v>
      </c>
      <c r="C79" s="22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58"/>
      <c r="AL79" s="22"/>
      <c r="AM79" s="69">
        <f>SUMIF(C81:C109,1,AM81:AM109)</f>
        <v>4334154.0894662896</v>
      </c>
      <c r="AN79" s="68" t="str">
        <f>IF(ROUND(AM79,5)=ROUND('Свод по цехам_Инвестиции'!R4,5),"","!!!")</f>
        <v/>
      </c>
      <c r="AO79" s="22"/>
      <c r="AP79" s="60"/>
      <c r="AQ79" s="75"/>
    </row>
    <row r="80" spans="1:43" s="31" customFormat="1" hidden="1">
      <c r="A80" s="78">
        <f>A78+1</f>
        <v>65</v>
      </c>
      <c r="B80" s="27" t="s">
        <v>11</v>
      </c>
      <c r="C80" s="28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30"/>
      <c r="AL80" s="27"/>
      <c r="AM80" s="27"/>
      <c r="AN80" s="70"/>
      <c r="AO80" s="27"/>
      <c r="AP80" s="61"/>
      <c r="AQ80" s="77"/>
    </row>
    <row r="81" spans="1:43" ht="180">
      <c r="A81" s="78">
        <v>66</v>
      </c>
      <c r="B81" s="19" t="str">
        <f>'[3]3 цех_CapEx'!$B8</f>
        <v>ПС 35/6кВ 2х4000кВА "Якушкинская"</v>
      </c>
      <c r="C81" s="32">
        <f>'[3]3 цех_CapEx'!$W8</f>
        <v>1</v>
      </c>
      <c r="D81" s="20">
        <f>IF(D$2='[3]3 цех result'!$C8,'[3]3 цех_CapEx'!F8,0)</f>
        <v>0</v>
      </c>
      <c r="E81" s="20">
        <f>IF(D$2&gt;='[3]3 цех result'!$D8,'[3]3 цех_CapEx'!F8,0)</f>
        <v>0</v>
      </c>
      <c r="F81" s="20" t="str">
        <f>IF(D$2&gt;='[3]3 цех result'!$C8,$AK81,"")</f>
        <v/>
      </c>
      <c r="G81" s="20">
        <f>IF(G$2='[3]3 цех result'!$C8,'[3]3 цех_CapEx'!G8,0)</f>
        <v>0</v>
      </c>
      <c r="H81" s="20">
        <f>IF(G$2&gt;='[3]3 цех result'!$D8,'[3]3 цех_CapEx'!G8,0)</f>
        <v>0</v>
      </c>
      <c r="I81" s="20" t="str">
        <f>IF(G$2&gt;='[3]3 цех result'!$C8,$AK81,"")</f>
        <v/>
      </c>
      <c r="J81" s="20">
        <f>IF(J$2='[3]3 цех result'!$C8,'[3]3 цех_CapEx'!H8,0)</f>
        <v>0</v>
      </c>
      <c r="K81" s="20">
        <f>IF(J$2&gt;='[3]3 цех result'!$D8,'[3]3 цех_CapEx'!H8,0)</f>
        <v>0</v>
      </c>
      <c r="L81" s="20" t="str">
        <f>IF(J$2&gt;='[3]3 цех result'!$C8,$AK81,"")</f>
        <v/>
      </c>
      <c r="M81" s="20">
        <f>IF(M$2='[3]3 цех result'!$C8,'[3]3 цех_CapEx'!I8,0)</f>
        <v>0</v>
      </c>
      <c r="N81" s="20">
        <f>IF(M$2&gt;='[3]3 цех result'!$D8,'[3]3 цех_CapEx'!I8,0)</f>
        <v>0</v>
      </c>
      <c r="O81" s="20" t="str">
        <f>IF(M$2&gt;='[3]3 цех result'!$C8,$AK81,"")</f>
        <v/>
      </c>
      <c r="P81" s="20">
        <f>IF(P$2='[3]3 цех result'!$C8,'[3]3 цех_CapEx'!J8,0)</f>
        <v>3485.2080011058219</v>
      </c>
      <c r="Q81" s="20">
        <f>IF(P$2&gt;='[3]3 цех result'!$D8,'[3]3 цех_CapEx'!J8,0)</f>
        <v>0</v>
      </c>
      <c r="R81" s="20" t="str">
        <f>IF(P$2&gt;='[3]3 цех result'!$C8,$AK81,"")</f>
        <v>Замена:
ВВ-35 кВ - 4 шт, СВВ-35 кВ - 1шт., 
КРУН-6 кВ - 24 яч.
 1СШ 6 кВ - 0,9 Мвар, 2СШ 6 кВ - 2,25 Мвар
 замена СТ 35/6 кВ 2х4000 кВА. строительство двуцепной ВЛ-35 кВ до ПС 110\35/6 Козловская, АС-95</v>
      </c>
      <c r="S81" s="20">
        <f>IF(S$2='[3]3 цех result'!$C8,'[3]3 цех_CapEx'!K8,0)</f>
        <v>0</v>
      </c>
      <c r="T81" s="20">
        <f>IF(S$2&gt;='[3]3 цех result'!$D8,'[3]3 цех_CapEx'!K8,0)</f>
        <v>0</v>
      </c>
      <c r="U81" s="20" t="str">
        <f>IF(S$2&gt;='[3]3 цех result'!$C8,$AK81,"")</f>
        <v>Замена:
ВВ-35 кВ - 4 шт, СВВ-35 кВ - 1шт., 
КРУН-6 кВ - 24 яч.
 1СШ 6 кВ - 0,9 Мвар, 2СШ 6 кВ - 2,25 Мвар
 замена СТ 35/6 кВ 2х4000 кВА. строительство двуцепной ВЛ-35 кВ до ПС 110\35/6 Козловская, АС-95</v>
      </c>
      <c r="V81" s="20">
        <f>IF(V$2='[3]3 цех result'!$C8,'[3]3 цех_CapEx'!L8,0)</f>
        <v>0</v>
      </c>
      <c r="W81" s="20">
        <f>IF(V$2&gt;='[3]3 цех result'!$D8,'[3]3 цех_CapEx'!L8,0)</f>
        <v>124830.5662776075</v>
      </c>
      <c r="X81" s="20" t="str">
        <f>IF(V$2&gt;='[3]3 цех result'!$C8,$AK81,"")</f>
        <v>Замена:
ВВ-35 кВ - 4 шт, СВВ-35 кВ - 1шт., 
КРУН-6 кВ - 24 яч.
 1СШ 6 кВ - 0,9 Мвар, 2СШ 6 кВ - 2,25 Мвар
 замена СТ 35/6 кВ 2х4000 кВА. строительство двуцепной ВЛ-35 кВ до ПС 110\35/6 Козловская, АС-95</v>
      </c>
      <c r="Y81" s="20">
        <f>IF(Y$2='[3]3 цех result'!$C8,'[3]3 цех_CapEx'!M8,0)</f>
        <v>0</v>
      </c>
      <c r="Z81" s="20">
        <f>IF(Y$2&gt;='[3]3 цех result'!$D8,'[3]3 цех_CapEx'!M8,0)</f>
        <v>0</v>
      </c>
      <c r="AA81" s="20" t="str">
        <f>IF(Y$2&gt;='[3]3 цех result'!$C8,$AK81,"")</f>
        <v>Замена:
ВВ-35 кВ - 4 шт, СВВ-35 кВ - 1шт., 
КРУН-6 кВ - 24 яч.
 1СШ 6 кВ - 0,9 Мвар, 2СШ 6 кВ - 2,25 Мвар
 замена СТ 35/6 кВ 2х4000 кВА. строительство двуцепной ВЛ-35 кВ до ПС 110\35/6 Козловская, АС-95</v>
      </c>
      <c r="AB81" s="20">
        <f>IF(AB$2='[3]3 цех result'!$C8,'[3]3 цех_CapEx'!N8,0)</f>
        <v>0</v>
      </c>
      <c r="AC81" s="20">
        <f>IF(AB$2&gt;='[3]3 цех result'!$D8,'[3]3 цех_CapEx'!N8,0)</f>
        <v>0</v>
      </c>
      <c r="AD81" s="20" t="str">
        <f>IF(AB$2&gt;='[3]3 цех result'!$C8,$AK81,"")</f>
        <v>Замена:
ВВ-35 кВ - 4 шт, СВВ-35 кВ - 1шт., 
КРУН-6 кВ - 24 яч.
 1СШ 6 кВ - 0,9 Мвар, 2СШ 6 кВ - 2,25 Мвар
 замена СТ 35/6 кВ 2х4000 кВА. строительство двуцепной ВЛ-35 кВ до ПС 110\35/6 Козловская, АС-95</v>
      </c>
      <c r="AE81" s="20">
        <f>IF(AE$2='[3]3 цех result'!$C8,'[3]3 цех_CapEx'!O8,0)</f>
        <v>0</v>
      </c>
      <c r="AF81" s="20">
        <f>IF(AE$2&gt;='[3]3 цех result'!$D8,'[3]3 цех_CapEx'!O8,0)</f>
        <v>0</v>
      </c>
      <c r="AG81" s="20" t="str">
        <f>IF(AE$2&gt;='[3]3 цех result'!$C8,$AK81,"")</f>
        <v>Замена:
ВВ-35 кВ - 4 шт, СВВ-35 кВ - 1шт., 
КРУН-6 кВ - 24 яч.
 1СШ 6 кВ - 0,9 Мвар, 2СШ 6 кВ - 2,25 Мвар
 замена СТ 35/6 кВ 2х4000 кВА. строительство двуцепной ВЛ-35 кВ до ПС 110\35/6 Козловская, АС-95</v>
      </c>
      <c r="AH81" s="20">
        <f>IF(AH$2='[3]3 цех result'!$C8,'[3]3 цех_CapEx'!P8,0)</f>
        <v>0</v>
      </c>
      <c r="AI81" s="20">
        <f>IF(AH$2&gt;='[3]3 цех result'!$D8,'[3]3 цех_CapEx'!P8,0)</f>
        <v>0</v>
      </c>
      <c r="AJ81" s="20" t="str">
        <f>IF(AH$2&gt;='[3]3 цех result'!$C8,$AK81,"")</f>
        <v>Замена:
ВВ-35 кВ - 4 шт, СВВ-35 кВ - 1шт., 
КРУН-6 кВ - 24 яч.
 1СШ 6 кВ - 0,9 Мвар, 2СШ 6 кВ - 2,25 Мвар
 замена СТ 35/6 кВ 2х4000 кВА. строительство двуцепной ВЛ-35 кВ до ПС 110\35/6 Козловская, АС-95</v>
      </c>
      <c r="AK81" s="12" t="s">
        <v>97</v>
      </c>
      <c r="AL81" s="19"/>
      <c r="AM81" s="71">
        <f t="shared" ref="AM81:AM87" si="5">SUM(D81:AJ81)</f>
        <v>128315.77427871333</v>
      </c>
      <c r="AN81" s="71">
        <f>'[3]3 цех_CapEx'!$V8</f>
        <v>128315.77427871333</v>
      </c>
      <c r="AO81" s="71">
        <f>AM81-AN81</f>
        <v>0</v>
      </c>
      <c r="AP81" s="59" t="s">
        <v>218</v>
      </c>
      <c r="AQ81" s="79" t="s">
        <v>219</v>
      </c>
    </row>
    <row r="82" spans="1:43" ht="75">
      <c r="A82" s="78">
        <v>67</v>
      </c>
      <c r="B82" s="19" t="str">
        <f>'[3]3 цех_CapEx'!$B9</f>
        <v>ПС 110/35/6кВ 2х16000 кВА "Козловская"</v>
      </c>
      <c r="C82" s="32">
        <f>'[3]3 цех_CapEx'!$W9</f>
        <v>1</v>
      </c>
      <c r="D82" s="20">
        <f>IF(D$2='[3]3 цех result'!$C9,'[3]3 цех_CapEx'!F9,0)</f>
        <v>4552.4537459999992</v>
      </c>
      <c r="E82" s="20">
        <f>IF(D$2&gt;='[3]3 цех result'!$D9,'[3]3 цех_CapEx'!F9,0)</f>
        <v>0</v>
      </c>
      <c r="F82" s="20" t="str">
        <f>IF(D$2&gt;='[3]3 цех result'!$C9,$AK82,"")</f>
        <v>Установка 2*ТДТН-25000110//35/6 с РПН вакуумного типа. Длина по периметру 400 м</v>
      </c>
      <c r="G82" s="20">
        <f>IF(G$2='[3]3 цех result'!$C9,'[3]3 цех_CapEx'!G9,0)</f>
        <v>0</v>
      </c>
      <c r="H82" s="20">
        <f>IF(G$2&gt;='[3]3 цех result'!$D9,'[3]3 цех_CapEx'!G9,0)</f>
        <v>80442.616434110998</v>
      </c>
      <c r="I82" s="20" t="str">
        <f>IF(G$2&gt;='[3]3 цех result'!$C9,$AK82,"")</f>
        <v>Установка 2*ТДТН-25000110//35/6 с РПН вакуумного типа. Длина по периметру 400 м</v>
      </c>
      <c r="J82" s="20">
        <f>IF(J$2='[3]3 цех result'!$C9,'[3]3 цех_CapEx'!H9,0)</f>
        <v>0</v>
      </c>
      <c r="K82" s="20">
        <f>IF(J$2&gt;='[3]3 цех result'!$D9,'[3]3 цех_CapEx'!H9,0)</f>
        <v>85269.173420157662</v>
      </c>
      <c r="L82" s="20" t="str">
        <f>IF(J$2&gt;='[3]3 цех result'!$C9,$AK82,"")</f>
        <v>Установка 2*ТДТН-25000110//35/6 с РПН вакуумного типа. Длина по периметру 400 м</v>
      </c>
      <c r="M82" s="20">
        <f>IF(M$2='[3]3 цех result'!$C9,'[3]3 цех_CapEx'!I9,0)</f>
        <v>0</v>
      </c>
      <c r="N82" s="20">
        <f>IF(M$2&gt;='[3]3 цех result'!$D9,'[3]3 цех_CapEx'!I9,0)</f>
        <v>0</v>
      </c>
      <c r="O82" s="20" t="str">
        <f>IF(M$2&gt;='[3]3 цех result'!$C9,$AK82,"")</f>
        <v>Установка 2*ТДТН-25000110//35/6 с РПН вакуумного типа. Длина по периметру 400 м</v>
      </c>
      <c r="P82" s="20">
        <f>IF(P$2='[3]3 цех result'!$C9,'[3]3 цех_CapEx'!J9,0)</f>
        <v>0</v>
      </c>
      <c r="Q82" s="20">
        <f>IF(P$2&gt;='[3]3 цех result'!$D9,'[3]3 цех_CapEx'!J9,0)</f>
        <v>0</v>
      </c>
      <c r="R82" s="20" t="str">
        <f>IF(P$2&gt;='[3]3 цех result'!$C9,$AK82,"")</f>
        <v>Установка 2*ТДТН-25000110//35/6 с РПН вакуумного типа. Длина по периметру 400 м</v>
      </c>
      <c r="S82" s="20">
        <f>IF(S$2='[3]3 цех result'!$C9,'[3]3 цех_CapEx'!K9,0)</f>
        <v>0</v>
      </c>
      <c r="T82" s="20">
        <f>IF(S$2&gt;='[3]3 цех result'!$D9,'[3]3 цех_CapEx'!K9,0)</f>
        <v>0</v>
      </c>
      <c r="U82" s="20" t="str">
        <f>IF(S$2&gt;='[3]3 цех result'!$C9,$AK82,"")</f>
        <v>Установка 2*ТДТН-25000110//35/6 с РПН вакуумного типа. Длина по периметру 400 м</v>
      </c>
      <c r="V82" s="20">
        <f>IF(V$2='[3]3 цех result'!$C9,'[3]3 цех_CapEx'!L9,0)</f>
        <v>0</v>
      </c>
      <c r="W82" s="20">
        <f>IF(V$2&gt;='[3]3 цех result'!$D9,'[3]3 цех_CapEx'!L9,0)</f>
        <v>0</v>
      </c>
      <c r="X82" s="20" t="str">
        <f>IF(V$2&gt;='[3]3 цех result'!$C9,$AK82,"")</f>
        <v>Установка 2*ТДТН-25000110//35/6 с РПН вакуумного типа. Длина по периметру 400 м</v>
      </c>
      <c r="Y82" s="20">
        <f>IF(Y$2='[3]3 цех result'!$C9,'[3]3 цех_CapEx'!M9,0)</f>
        <v>0</v>
      </c>
      <c r="Z82" s="20">
        <f>IF(Y$2&gt;='[3]3 цех result'!$D9,'[3]3 цех_CapEx'!M9,0)</f>
        <v>0</v>
      </c>
      <c r="AA82" s="20" t="str">
        <f>IF(Y$2&gt;='[3]3 цех result'!$C9,$AK82,"")</f>
        <v>Установка 2*ТДТН-25000110//35/6 с РПН вакуумного типа. Длина по периметру 400 м</v>
      </c>
      <c r="AB82" s="20">
        <f>IF(AB$2='[3]3 цех result'!$C9,'[3]3 цех_CapEx'!N9,0)</f>
        <v>0</v>
      </c>
      <c r="AC82" s="20">
        <f>IF(AB$2&gt;='[3]3 цех result'!$D9,'[3]3 цех_CapEx'!N9,0)</f>
        <v>0</v>
      </c>
      <c r="AD82" s="20" t="str">
        <f>IF(AB$2&gt;='[3]3 цех result'!$C9,$AK82,"")</f>
        <v>Установка 2*ТДТН-25000110//35/6 с РПН вакуумного типа. Длина по периметру 400 м</v>
      </c>
      <c r="AE82" s="20">
        <f>IF(AE$2='[3]3 цех result'!$C9,'[3]3 цех_CapEx'!O9,0)</f>
        <v>0</v>
      </c>
      <c r="AF82" s="20">
        <f>IF(AE$2&gt;='[3]3 цех result'!$D9,'[3]3 цех_CapEx'!O9,0)</f>
        <v>0</v>
      </c>
      <c r="AG82" s="20" t="str">
        <f>IF(AE$2&gt;='[3]3 цех result'!$C9,$AK82,"")</f>
        <v>Установка 2*ТДТН-25000110//35/6 с РПН вакуумного типа. Длина по периметру 400 м</v>
      </c>
      <c r="AH82" s="20">
        <f>IF(AH$2='[3]3 цех result'!$C9,'[3]3 цех_CapEx'!P9,0)</f>
        <v>0</v>
      </c>
      <c r="AI82" s="20">
        <f>IF(AH$2&gt;='[3]3 цех result'!$D9,'[3]3 цех_CapEx'!P9,0)</f>
        <v>0</v>
      </c>
      <c r="AJ82" s="20" t="str">
        <f>IF(AH$2&gt;='[3]3 цех result'!$C9,$AK82,"")</f>
        <v>Установка 2*ТДТН-25000110//35/6 с РПН вакуумного типа. Длина по периметру 400 м</v>
      </c>
      <c r="AK82" s="12" t="s">
        <v>98</v>
      </c>
      <c r="AL82" s="19"/>
      <c r="AM82" s="71">
        <f t="shared" si="5"/>
        <v>170264.24360026867</v>
      </c>
      <c r="AN82" s="71">
        <f>'[3]3 цех_CapEx'!$V9</f>
        <v>170264.24360026867</v>
      </c>
      <c r="AO82" s="71">
        <f t="shared" ref="AO82:AO87" si="6">AM82-AN82</f>
        <v>0</v>
      </c>
      <c r="AP82" s="55" t="s">
        <v>221</v>
      </c>
      <c r="AQ82" s="79" t="s">
        <v>219</v>
      </c>
    </row>
    <row r="83" spans="1:43" s="37" customFormat="1" ht="105">
      <c r="A83" s="78">
        <v>68</v>
      </c>
      <c r="B83" s="34" t="str">
        <f>'[3]3 цех_CapEx'!$B10</f>
        <v>ПС 110/35/6кВ 2х16000 кВА "Красногородецкая"</v>
      </c>
      <c r="C83" s="35">
        <f>'[3]3 цех_CapEx'!$W10</f>
        <v>1</v>
      </c>
      <c r="D83" s="36">
        <f>IF(D$2='[3]3 цех result'!$C10,'[3]3 цех_CapEx'!F10,0)</f>
        <v>0</v>
      </c>
      <c r="E83" s="36">
        <f>IF(D$2&gt;='[3]3 цех result'!$D10,'[3]3 цех_CapEx'!F10,0)</f>
        <v>0</v>
      </c>
      <c r="F83" s="36" t="str">
        <f>IF(D$2&gt;='[3]3 цех result'!$C10,$AK83,"")</f>
        <v/>
      </c>
      <c r="G83" s="36">
        <f>IF(G$2='[3]3 цех result'!$C10,'[3]3 цех_CapEx'!G10,0)</f>
        <v>0</v>
      </c>
      <c r="H83" s="36">
        <f>IF(G$2&gt;='[3]3 цех result'!$D10,'[3]3 цех_CapEx'!G10,0)</f>
        <v>0</v>
      </c>
      <c r="I83" s="36" t="str">
        <f>IF(G$2&gt;='[3]3 цех result'!$C10,$AK83,"")</f>
        <v/>
      </c>
      <c r="J83" s="36">
        <f>IF(J$2='[3]3 цех result'!$C10,'[3]3 цех_CapEx'!H10,0)</f>
        <v>0</v>
      </c>
      <c r="K83" s="36">
        <f>IF(J$2&gt;='[3]3 цех result'!$D10,'[3]3 цех_CapEx'!H10,0)</f>
        <v>0</v>
      </c>
      <c r="L83" s="36" t="str">
        <f>IF(J$2&gt;='[3]3 цех result'!$C10,$AK83,"")</f>
        <v/>
      </c>
      <c r="M83" s="36">
        <f>IF(M$2='[3]3 цех result'!$C10,'[3]3 цех_CapEx'!I10,0)</f>
        <v>0</v>
      </c>
      <c r="N83" s="36">
        <f>IF(M$2&gt;='[3]3 цех result'!$D10,'[3]3 цех_CapEx'!I10,0)</f>
        <v>0</v>
      </c>
      <c r="O83" s="36" t="str">
        <f>IF(M$2&gt;='[3]3 цех result'!$C10,$AK83,"")</f>
        <v/>
      </c>
      <c r="P83" s="36">
        <f>IF(P$2='[3]3 цех result'!$C10,'[3]3 цех_CapEx'!J10,0)</f>
        <v>11835.586946309604</v>
      </c>
      <c r="Q83" s="36">
        <f>IF(P$2&gt;='[3]3 цех result'!$D10,'[3]3 цех_CapEx'!J10,0)</f>
        <v>0</v>
      </c>
      <c r="R83" s="36" t="str">
        <f>IF(P$2&gt;='[3]3 цех result'!$C10,$AK83,"")</f>
        <v xml:space="preserve">                                               
Установка:
ВВ-35 кВ 1000А - 3 шт.
ЭВ-110 кВ 1000А - 2 шт.  </v>
      </c>
      <c r="S83" s="36">
        <f>IF(S$2='[3]3 цех result'!$C10,'[3]3 цех_CapEx'!K10,0)</f>
        <v>0</v>
      </c>
      <c r="T83" s="36">
        <f>IF(S$2&gt;='[3]3 цех result'!$D10,'[3]3 цех_CapEx'!K10,0)</f>
        <v>195622.52624425385</v>
      </c>
      <c r="U83" s="36" t="str">
        <f>IF(S$2&gt;='[3]3 цех result'!$C10,$AK83,"")</f>
        <v xml:space="preserve">                                               
Установка:
ВВ-35 кВ 1000А - 3 шт.
ЭВ-110 кВ 1000А - 2 шт.  </v>
      </c>
      <c r="V83" s="36">
        <f>IF(V$2='[3]3 цех result'!$C10,'[3]3 цех_CapEx'!L10,0)</f>
        <v>0</v>
      </c>
      <c r="W83" s="36">
        <f>IF(V$2&gt;='[3]3 цех result'!$D10,'[3]3 цех_CapEx'!L10,0)</f>
        <v>0</v>
      </c>
      <c r="X83" s="36" t="str">
        <f>IF(V$2&gt;='[3]3 цех result'!$C10,$AK83,"")</f>
        <v xml:space="preserve">                                               
Установка:
ВВ-35 кВ 1000А - 3 шт.
ЭВ-110 кВ 1000А - 2 шт.  </v>
      </c>
      <c r="Y83" s="36">
        <f>IF(Y$2='[3]3 цех result'!$C10,'[3]3 цех_CapEx'!M10,0)</f>
        <v>0</v>
      </c>
      <c r="Z83" s="36">
        <f>IF(Y$2&gt;='[3]3 цех result'!$D10,'[3]3 цех_CapEx'!M10,0)</f>
        <v>0</v>
      </c>
      <c r="AA83" s="36" t="str">
        <f>IF(Y$2&gt;='[3]3 цех result'!$C10,$AK83,"")</f>
        <v xml:space="preserve">                                               
Установка:
ВВ-35 кВ 1000А - 3 шт.
ЭВ-110 кВ 1000А - 2 шт.  </v>
      </c>
      <c r="AB83" s="36">
        <f>IF(AB$2='[3]3 цех result'!$C10,'[3]3 цех_CapEx'!N10,0)</f>
        <v>0</v>
      </c>
      <c r="AC83" s="36">
        <f>IF(AB$2&gt;='[3]3 цех result'!$D10,'[3]3 цех_CapEx'!N10,0)</f>
        <v>0</v>
      </c>
      <c r="AD83" s="36" t="str">
        <f>IF(AB$2&gt;='[3]3 цех result'!$C10,$AK83,"")</f>
        <v xml:space="preserve">                                               
Установка:
ВВ-35 кВ 1000А - 3 шт.
ЭВ-110 кВ 1000А - 2 шт.  </v>
      </c>
      <c r="AE83" s="36">
        <f>IF(AE$2='[3]3 цех result'!$C10,'[3]3 цех_CapEx'!O10,0)</f>
        <v>0</v>
      </c>
      <c r="AF83" s="36">
        <f>IF(AE$2&gt;='[3]3 цех result'!$D10,'[3]3 цех_CapEx'!O10,0)</f>
        <v>0</v>
      </c>
      <c r="AG83" s="36" t="str">
        <f>IF(AE$2&gt;='[3]3 цех result'!$C10,$AK83,"")</f>
        <v xml:space="preserve">                                               
Установка:
ВВ-35 кВ 1000А - 3 шт.
ЭВ-110 кВ 1000А - 2 шт.  </v>
      </c>
      <c r="AH83" s="36">
        <f>IF(AH$2='[3]3 цех result'!$C10,'[3]3 цех_CapEx'!P10,0)</f>
        <v>0</v>
      </c>
      <c r="AI83" s="36">
        <f>IF(AH$2&gt;='[3]3 цех result'!$D10,'[3]3 цех_CapEx'!P10,0)</f>
        <v>0</v>
      </c>
      <c r="AJ83" s="36" t="str">
        <f>IF(AH$2&gt;='[3]3 цех result'!$C10,$AK83,"")</f>
        <v xml:space="preserve">                                               
Установка:
ВВ-35 кВ 1000А - 3 шт.
ЭВ-110 кВ 1000А - 2 шт.  </v>
      </c>
      <c r="AK83" s="12" t="s">
        <v>170</v>
      </c>
      <c r="AL83" s="34"/>
      <c r="AM83" s="72">
        <f t="shared" si="5"/>
        <v>207458.11319056345</v>
      </c>
      <c r="AN83" s="72">
        <f>'[3]3 цех_CapEx'!$V10</f>
        <v>207458.11319056345</v>
      </c>
      <c r="AO83" s="72">
        <f t="shared" si="6"/>
        <v>0</v>
      </c>
      <c r="AP83" s="53" t="s">
        <v>225</v>
      </c>
      <c r="AQ83" s="81" t="s">
        <v>219</v>
      </c>
    </row>
    <row r="84" spans="1:43" ht="60">
      <c r="A84" s="78">
        <v>69</v>
      </c>
      <c r="B84" s="19" t="str">
        <f>'[3]3 цех_CapEx'!$B11</f>
        <v>ПС 35/6кВ 1х4000кВА "Орлянская"</v>
      </c>
      <c r="C84" s="32">
        <f>'[3]3 цех_CapEx'!$W11</f>
        <v>1</v>
      </c>
      <c r="D84" s="20">
        <f>IF(D$2='[3]3 цех result'!$C11,'[3]3 цех_CapEx'!F11,0)</f>
        <v>0</v>
      </c>
      <c r="E84" s="20">
        <f>IF(D$2&gt;='[3]3 цех result'!$D11,'[3]3 цех_CapEx'!F11,0)</f>
        <v>0</v>
      </c>
      <c r="F84" s="20" t="str">
        <f>IF(D$2&gt;='[3]3 цех result'!$C11,$AK84,"")</f>
        <v/>
      </c>
      <c r="G84" s="20">
        <f>IF(G$2='[3]3 цех result'!$C11,'[3]3 цех_CapEx'!G11,0)</f>
        <v>0</v>
      </c>
      <c r="H84" s="20">
        <f>IF(G$2&gt;='[3]3 цех result'!$D11,'[3]3 цех_CapEx'!G11,0)</f>
        <v>0</v>
      </c>
      <c r="I84" s="20" t="str">
        <f>IF(G$2&gt;='[3]3 цех result'!$C11,$AK84,"")</f>
        <v/>
      </c>
      <c r="J84" s="20">
        <f>IF(J$2='[3]3 цех result'!$C11,'[3]3 цех_CapEx'!H11,0)</f>
        <v>0</v>
      </c>
      <c r="K84" s="20">
        <f>IF(J$2&gt;='[3]3 цех result'!$D11,'[3]3 цех_CapEx'!H11,0)</f>
        <v>0</v>
      </c>
      <c r="L84" s="20" t="str">
        <f>IF(J$2&gt;='[3]3 цех result'!$C11,$AK84,"")</f>
        <v/>
      </c>
      <c r="M84" s="20">
        <f>IF(M$2='[3]3 цех result'!$C11,'[3]3 цех_CapEx'!I11,0)</f>
        <v>976.92749744583239</v>
      </c>
      <c r="N84" s="20">
        <f>IF(M$2&gt;='[3]3 цех result'!$D11,'[3]3 цех_CapEx'!I11,0)</f>
        <v>0</v>
      </c>
      <c r="O84" s="20" t="str">
        <f>IF(M$2&gt;='[3]3 цех result'!$C11,$AK84,"")</f>
        <v xml:space="preserve"> Замена:
Т-1-Т 4000 кВА - 1 шт.
Блок ВВ-35 кВ - 1 шт. </v>
      </c>
      <c r="P84" s="20">
        <f>IF(P$2='[3]3 цех result'!$C11,'[3]3 цех_CapEx'!J11,0)</f>
        <v>0</v>
      </c>
      <c r="Q84" s="20">
        <f>IF(P$2&gt;='[3]3 цех result'!$D11,'[3]3 цех_CapEx'!J11,0)</f>
        <v>0</v>
      </c>
      <c r="R84" s="20" t="str">
        <f>IF(P$2&gt;='[3]3 цех result'!$C11,$AK84,"")</f>
        <v xml:space="preserve"> Замена:
Т-1-Т 4000 кВА - 1 шт.
Блок ВВ-35 кВ - 1 шт. </v>
      </c>
      <c r="S84" s="20">
        <f>IF(S$2='[3]3 цех result'!$C11,'[3]3 цех_CapEx'!K11,0)</f>
        <v>0</v>
      </c>
      <c r="T84" s="20">
        <f>IF(S$2&gt;='[3]3 цех result'!$D11,'[3]3 цех_CapEx'!K11,0)</f>
        <v>35390.751909696213</v>
      </c>
      <c r="U84" s="20" t="str">
        <f>IF(S$2&gt;='[3]3 цех result'!$C11,$AK84,"")</f>
        <v xml:space="preserve"> Замена:
Т-1-Т 4000 кВА - 1 шт.
Блок ВВ-35 кВ - 1 шт. </v>
      </c>
      <c r="V84" s="20">
        <f>IF(V$2='[3]3 цех result'!$C11,'[3]3 цех_CapEx'!L11,0)</f>
        <v>0</v>
      </c>
      <c r="W84" s="20">
        <f>IF(V$2&gt;='[3]3 цех result'!$D11,'[3]3 цех_CapEx'!L11,0)</f>
        <v>0</v>
      </c>
      <c r="X84" s="20" t="str">
        <f>IF(V$2&gt;='[3]3 цех result'!$C11,$AK84,"")</f>
        <v xml:space="preserve"> Замена:
Т-1-Т 4000 кВА - 1 шт.
Блок ВВ-35 кВ - 1 шт. </v>
      </c>
      <c r="Y84" s="20">
        <f>IF(Y$2='[3]3 цех result'!$C11,'[3]3 цех_CapEx'!M11,0)</f>
        <v>0</v>
      </c>
      <c r="Z84" s="20">
        <f>IF(Y$2&gt;='[3]3 цех result'!$D11,'[3]3 цех_CapEx'!M11,0)</f>
        <v>0</v>
      </c>
      <c r="AA84" s="20" t="str">
        <f>IF(Y$2&gt;='[3]3 цех result'!$C11,$AK84,"")</f>
        <v xml:space="preserve"> Замена:
Т-1-Т 4000 кВА - 1 шт.
Блок ВВ-35 кВ - 1 шт. </v>
      </c>
      <c r="AB84" s="20">
        <f>IF(AB$2='[3]3 цех result'!$C11,'[3]3 цех_CapEx'!N11,0)</f>
        <v>0</v>
      </c>
      <c r="AC84" s="20">
        <f>IF(AB$2&gt;='[3]3 цех result'!$D11,'[3]3 цех_CapEx'!N11,0)</f>
        <v>0</v>
      </c>
      <c r="AD84" s="20" t="str">
        <f>IF(AB$2&gt;='[3]3 цех result'!$C11,$AK84,"")</f>
        <v xml:space="preserve"> Замена:
Т-1-Т 4000 кВА - 1 шт.
Блок ВВ-35 кВ - 1 шт. </v>
      </c>
      <c r="AE84" s="20">
        <f>IF(AE$2='[3]3 цех result'!$C11,'[3]3 цех_CapEx'!O11,0)</f>
        <v>0</v>
      </c>
      <c r="AF84" s="20">
        <f>IF(AE$2&gt;='[3]3 цех result'!$D11,'[3]3 цех_CapEx'!O11,0)</f>
        <v>0</v>
      </c>
      <c r="AG84" s="20" t="str">
        <f>IF(AE$2&gt;='[3]3 цех result'!$C11,$AK84,"")</f>
        <v xml:space="preserve"> Замена:
Т-1-Т 4000 кВА - 1 шт.
Блок ВВ-35 кВ - 1 шт. </v>
      </c>
      <c r="AH84" s="20">
        <f>IF(AH$2='[3]3 цех result'!$C11,'[3]3 цех_CapEx'!P11,0)</f>
        <v>0</v>
      </c>
      <c r="AI84" s="20">
        <f>IF(AH$2&gt;='[3]3 цех result'!$D11,'[3]3 цех_CapEx'!P11,0)</f>
        <v>0</v>
      </c>
      <c r="AJ84" s="20" t="str">
        <f>IF(AH$2&gt;='[3]3 цех result'!$C11,$AK84,"")</f>
        <v xml:space="preserve"> Замена:
Т-1-Т 4000 кВА - 1 шт.
Блок ВВ-35 кВ - 1 шт. </v>
      </c>
      <c r="AK84" s="12" t="s">
        <v>100</v>
      </c>
      <c r="AL84" s="19"/>
      <c r="AM84" s="71">
        <f t="shared" si="5"/>
        <v>36367.679407142045</v>
      </c>
      <c r="AN84" s="71">
        <f>'[3]3 цех_CapEx'!$V11</f>
        <v>36367.679407142045</v>
      </c>
      <c r="AO84" s="71">
        <f t="shared" si="6"/>
        <v>0</v>
      </c>
      <c r="AP84" s="65" t="s">
        <v>226</v>
      </c>
      <c r="AQ84" s="81" t="s">
        <v>219</v>
      </c>
    </row>
    <row r="85" spans="1:43" ht="45">
      <c r="A85" s="78">
        <v>70</v>
      </c>
      <c r="B85" s="19" t="str">
        <f>'[3]3 цех_CapEx'!$B12</f>
        <v>ПС 35/6кВ 2х2500кВА "Обошинская"</v>
      </c>
      <c r="C85" s="32">
        <f>'[3]3 цех_CapEx'!$W12</f>
        <v>1</v>
      </c>
      <c r="D85" s="20">
        <f>IF(D$2='[3]3 цех result'!$C12,'[3]3 цех_CapEx'!F12,0)</f>
        <v>0</v>
      </c>
      <c r="E85" s="20">
        <f>IF(D$2&gt;='[3]3 цех result'!$D12,'[3]3 цех_CapEx'!F12,0)</f>
        <v>0</v>
      </c>
      <c r="F85" s="20" t="str">
        <f>IF(D$2&gt;='[3]3 цех result'!$C12,$AK85,"")</f>
        <v/>
      </c>
      <c r="G85" s="20">
        <f>IF(G$2='[3]3 цех result'!$C12,'[3]3 цех_CapEx'!G12,0)</f>
        <v>0</v>
      </c>
      <c r="H85" s="20">
        <f>IF(G$2&gt;='[3]3 цех result'!$D12,'[3]3 цех_CapEx'!G12,0)</f>
        <v>0</v>
      </c>
      <c r="I85" s="20" t="str">
        <f>IF(G$2&gt;='[3]3 цех result'!$C12,$AK85,"")</f>
        <v/>
      </c>
      <c r="J85" s="20">
        <f>IF(J$2='[3]3 цех result'!$C12,'[3]3 цех_CapEx'!H12,0)</f>
        <v>0</v>
      </c>
      <c r="K85" s="20">
        <f>IF(J$2&gt;='[3]3 цех result'!$D12,'[3]3 цех_CapEx'!H12,0)</f>
        <v>0</v>
      </c>
      <c r="L85" s="20" t="str">
        <f>IF(J$2&gt;='[3]3 цех result'!$C12,$AK85,"")</f>
        <v/>
      </c>
      <c r="M85" s="20">
        <f>IF(M$2='[3]3 цех result'!$C12,'[3]3 цех_CapEx'!I12,0)</f>
        <v>586.9339020234612</v>
      </c>
      <c r="N85" s="20">
        <f>IF(M$2&gt;='[3]3 цех result'!$D12,'[3]3 цех_CapEx'!I12,0)</f>
        <v>0</v>
      </c>
      <c r="O85" s="20" t="str">
        <f>IF(M$2&gt;='[3]3 цех result'!$C12,$AK85,"")</f>
        <v xml:space="preserve"> Замена:
 СТ Т-1-Т 2500 кВА - 1 шт.</v>
      </c>
      <c r="P85" s="20">
        <f>IF(P$2='[3]3 цех result'!$C12,'[3]3 цех_CapEx'!J12,0)</f>
        <v>0</v>
      </c>
      <c r="Q85" s="20">
        <f>IF(P$2&gt;='[3]3 цех result'!$D12,'[3]3 цех_CapEx'!J12,0)</f>
        <v>0</v>
      </c>
      <c r="R85" s="20" t="str">
        <f>IF(P$2&gt;='[3]3 цех result'!$C12,$AK85,"")</f>
        <v xml:space="preserve"> Замена:
 СТ Т-1-Т 2500 кВА - 1 шт.</v>
      </c>
      <c r="S85" s="20">
        <f>IF(S$2='[3]3 цех result'!$C12,'[3]3 цех_CapEx'!K12,0)</f>
        <v>0</v>
      </c>
      <c r="T85" s="20">
        <f>IF(S$2&gt;='[3]3 цех result'!$D12,'[3]3 цех_CapEx'!K12,0)</f>
        <v>21262.613825704098</v>
      </c>
      <c r="U85" s="20" t="str">
        <f>IF(S$2&gt;='[3]3 цех result'!$C12,$AK85,"")</f>
        <v xml:space="preserve"> Замена:
 СТ Т-1-Т 2500 кВА - 1 шт.</v>
      </c>
      <c r="V85" s="20">
        <f>IF(V$2='[3]3 цех result'!$C12,'[3]3 цех_CapEx'!L12,0)</f>
        <v>0</v>
      </c>
      <c r="W85" s="20">
        <f>IF(V$2&gt;='[3]3 цех result'!$D12,'[3]3 цех_CapEx'!L12,0)</f>
        <v>0</v>
      </c>
      <c r="X85" s="20" t="str">
        <f>IF(V$2&gt;='[3]3 цех result'!$C12,$AK85,"")</f>
        <v xml:space="preserve"> Замена:
 СТ Т-1-Т 2500 кВА - 1 шт.</v>
      </c>
      <c r="Y85" s="20">
        <f>IF(Y$2='[3]3 цех result'!$C12,'[3]3 цех_CapEx'!M12,0)</f>
        <v>0</v>
      </c>
      <c r="Z85" s="20">
        <f>IF(Y$2&gt;='[3]3 цех result'!$D12,'[3]3 цех_CapEx'!M12,0)</f>
        <v>0</v>
      </c>
      <c r="AA85" s="20" t="str">
        <f>IF(Y$2&gt;='[3]3 цех result'!$C12,$AK85,"")</f>
        <v xml:space="preserve"> Замена:
 СТ Т-1-Т 2500 кВА - 1 шт.</v>
      </c>
      <c r="AB85" s="20">
        <f>IF(AB$2='[3]3 цех result'!$C12,'[3]3 цех_CapEx'!N12,0)</f>
        <v>0</v>
      </c>
      <c r="AC85" s="20">
        <f>IF(AB$2&gt;='[3]3 цех result'!$D12,'[3]3 цех_CapEx'!N12,0)</f>
        <v>0</v>
      </c>
      <c r="AD85" s="20" t="str">
        <f>IF(AB$2&gt;='[3]3 цех result'!$C12,$AK85,"")</f>
        <v xml:space="preserve"> Замена:
 СТ Т-1-Т 2500 кВА - 1 шт.</v>
      </c>
      <c r="AE85" s="20">
        <f>IF(AE$2='[3]3 цех result'!$C12,'[3]3 цех_CapEx'!O12,0)</f>
        <v>0</v>
      </c>
      <c r="AF85" s="20">
        <f>IF(AE$2&gt;='[3]3 цех result'!$D12,'[3]3 цех_CapEx'!O12,0)</f>
        <v>0</v>
      </c>
      <c r="AG85" s="20" t="str">
        <f>IF(AE$2&gt;='[3]3 цех result'!$C12,$AK85,"")</f>
        <v xml:space="preserve"> Замена:
 СТ Т-1-Т 2500 кВА - 1 шт.</v>
      </c>
      <c r="AH85" s="20">
        <f>IF(AH$2='[3]3 цех result'!$C12,'[3]3 цех_CapEx'!P12,0)</f>
        <v>0</v>
      </c>
      <c r="AI85" s="20">
        <f>IF(AH$2&gt;='[3]3 цех result'!$D12,'[3]3 цех_CapEx'!P12,0)</f>
        <v>0</v>
      </c>
      <c r="AJ85" s="20" t="str">
        <f>IF(AH$2&gt;='[3]3 цех result'!$C12,$AK85,"")</f>
        <v xml:space="preserve"> Замена:
 СТ Т-1-Т 2500 кВА - 1 шт.</v>
      </c>
      <c r="AK85" s="12" t="s">
        <v>103</v>
      </c>
      <c r="AL85" s="19"/>
      <c r="AM85" s="71">
        <f t="shared" si="5"/>
        <v>21849.54772772756</v>
      </c>
      <c r="AN85" s="71">
        <f>'[3]3 цех_CapEx'!$V12</f>
        <v>21849.54772772756</v>
      </c>
      <c r="AO85" s="71">
        <f t="shared" si="6"/>
        <v>0</v>
      </c>
      <c r="AP85" s="59" t="s">
        <v>227</v>
      </c>
      <c r="AQ85" s="81" t="s">
        <v>219</v>
      </c>
    </row>
    <row r="86" spans="1:43" ht="105">
      <c r="A86" s="78">
        <v>71</v>
      </c>
      <c r="B86" s="19" t="str">
        <f>'[3]3 цех_CapEx'!$B13</f>
        <v>ПС 35/6кВ 1х1800кВА "Сургутская"</v>
      </c>
      <c r="C86" s="32">
        <f>'[3]3 цех_CapEx'!$W13</f>
        <v>1</v>
      </c>
      <c r="D86" s="20">
        <f>IF(D$2='[3]3 цех result'!$C13,'[3]3 цех_CapEx'!F13,0)</f>
        <v>0</v>
      </c>
      <c r="E86" s="20">
        <f>IF(D$2&gt;='[3]3 цех result'!$D13,'[3]3 цех_CapEx'!F13,0)</f>
        <v>0</v>
      </c>
      <c r="F86" s="20" t="str">
        <f>IF(D$2&gt;='[3]3 цех result'!$C13,$AK86,"")</f>
        <v/>
      </c>
      <c r="G86" s="20">
        <f>IF(G$2='[3]3 цех result'!$C13,'[3]3 цех_CapEx'!G13,0)</f>
        <v>0</v>
      </c>
      <c r="H86" s="20">
        <f>IF(G$2&gt;='[3]3 цех result'!$D13,'[3]3 цех_CapEx'!G13,0)</f>
        <v>0</v>
      </c>
      <c r="I86" s="20" t="str">
        <f>IF(G$2&gt;='[3]3 цех result'!$C13,$AK86,"")</f>
        <v/>
      </c>
      <c r="J86" s="20">
        <f>IF(J$2='[3]3 цех result'!$C13,'[3]3 цех_CapEx'!H13,0)</f>
        <v>0</v>
      </c>
      <c r="K86" s="20">
        <f>IF(J$2&gt;='[3]3 цех result'!$D13,'[3]3 цех_CapEx'!H13,0)</f>
        <v>0</v>
      </c>
      <c r="L86" s="20" t="str">
        <f>IF(J$2&gt;='[3]3 цех result'!$C13,$AK86,"")</f>
        <v/>
      </c>
      <c r="M86" s="20">
        <f>IF(M$2='[3]3 цех result'!$C13,'[3]3 цех_CapEx'!I13,0)</f>
        <v>1569.3613590738564</v>
      </c>
      <c r="N86" s="20">
        <f>IF(M$2&gt;='[3]3 цех result'!$D13,'[3]3 цех_CapEx'!I13,0)</f>
        <v>0</v>
      </c>
      <c r="O86" s="20" t="str">
        <f>IF(M$2&gt;='[3]3 цех result'!$C13,$AK86,"")</f>
        <v>Замена:
 Т-1-Т 2500 кВА - 1 шт.
КРУН-6 кВ (7ячеек);
блок МВ-35 кВ на блок ВВ-35 кВ - 1 шт;
ТН-35 кВ - 1 компл.</v>
      </c>
      <c r="P86" s="20">
        <f>IF(P$2='[3]3 цех result'!$C13,'[3]3 цех_CapEx'!J13,0)</f>
        <v>0</v>
      </c>
      <c r="Q86" s="20">
        <f>IF(P$2&gt;='[3]3 цех result'!$D13,'[3]3 цех_CapEx'!J13,0)</f>
        <v>0</v>
      </c>
      <c r="R86" s="20" t="str">
        <f>IF(P$2&gt;='[3]3 цех result'!$C13,$AK86,"")</f>
        <v>Замена:
 Т-1-Т 2500 кВА - 1 шт.
КРУН-6 кВ (7ячеек);
блок МВ-35 кВ на блок ВВ-35 кВ - 1 шт;
ТН-35 кВ - 1 компл.</v>
      </c>
      <c r="S86" s="20">
        <f>IF(S$2='[3]3 цех result'!$C13,'[3]3 цех_CapEx'!K13,0)</f>
        <v>0</v>
      </c>
      <c r="T86" s="20">
        <f>IF(S$2&gt;='[3]3 цех result'!$D13,'[3]3 цех_CapEx'!K13,0)</f>
        <v>56852.610517011366</v>
      </c>
      <c r="U86" s="20" t="str">
        <f>IF(S$2&gt;='[3]3 цех result'!$C13,$AK86,"")</f>
        <v>Замена:
 Т-1-Т 2500 кВА - 1 шт.
КРУН-6 кВ (7ячеек);
блок МВ-35 кВ на блок ВВ-35 кВ - 1 шт;
ТН-35 кВ - 1 компл.</v>
      </c>
      <c r="V86" s="20">
        <f>IF(V$2='[3]3 цех result'!$C13,'[3]3 цех_CapEx'!L13,0)</f>
        <v>0</v>
      </c>
      <c r="W86" s="20">
        <f>IF(V$2&gt;='[3]3 цех result'!$D13,'[3]3 цех_CapEx'!L13,0)</f>
        <v>0</v>
      </c>
      <c r="X86" s="20" t="str">
        <f>IF(V$2&gt;='[3]3 цех result'!$C13,$AK86,"")</f>
        <v>Замена:
 Т-1-Т 2500 кВА - 1 шт.
КРУН-6 кВ (7ячеек);
блок МВ-35 кВ на блок ВВ-35 кВ - 1 шт;
ТН-35 кВ - 1 компл.</v>
      </c>
      <c r="Y86" s="20">
        <f>IF(Y$2='[3]3 цех result'!$C13,'[3]3 цех_CapEx'!M13,0)</f>
        <v>0</v>
      </c>
      <c r="Z86" s="20">
        <f>IF(Y$2&gt;='[3]3 цех result'!$D13,'[3]3 цех_CapEx'!M13,0)</f>
        <v>0</v>
      </c>
      <c r="AA86" s="20" t="str">
        <f>IF(Y$2&gt;='[3]3 цех result'!$C13,$AK86,"")</f>
        <v>Замена:
 Т-1-Т 2500 кВА - 1 шт.
КРУН-6 кВ (7ячеек);
блок МВ-35 кВ на блок ВВ-35 кВ - 1 шт;
ТН-35 кВ - 1 компл.</v>
      </c>
      <c r="AB86" s="20">
        <f>IF(AB$2='[3]3 цех result'!$C13,'[3]3 цех_CapEx'!N13,0)</f>
        <v>0</v>
      </c>
      <c r="AC86" s="20">
        <f>IF(AB$2&gt;='[3]3 цех result'!$D13,'[3]3 цех_CapEx'!N13,0)</f>
        <v>0</v>
      </c>
      <c r="AD86" s="20" t="str">
        <f>IF(AB$2&gt;='[3]3 цех result'!$C13,$AK86,"")</f>
        <v>Замена:
 Т-1-Т 2500 кВА - 1 шт.
КРУН-6 кВ (7ячеек);
блок МВ-35 кВ на блок ВВ-35 кВ - 1 шт;
ТН-35 кВ - 1 компл.</v>
      </c>
      <c r="AE86" s="20">
        <f>IF(AE$2='[3]3 цех result'!$C13,'[3]3 цех_CapEx'!O13,0)</f>
        <v>0</v>
      </c>
      <c r="AF86" s="20">
        <f>IF(AE$2&gt;='[3]3 цех result'!$D13,'[3]3 цех_CapEx'!O13,0)</f>
        <v>0</v>
      </c>
      <c r="AG86" s="20" t="str">
        <f>IF(AE$2&gt;='[3]3 цех result'!$C13,$AK86,"")</f>
        <v>Замена:
 Т-1-Т 2500 кВА - 1 шт.
КРУН-6 кВ (7ячеек);
блок МВ-35 кВ на блок ВВ-35 кВ - 1 шт;
ТН-35 кВ - 1 компл.</v>
      </c>
      <c r="AH86" s="20">
        <f>IF(AH$2='[3]3 цех result'!$C13,'[3]3 цех_CapEx'!P13,0)</f>
        <v>0</v>
      </c>
      <c r="AI86" s="20">
        <f>IF(AH$2&gt;='[3]3 цех result'!$D13,'[3]3 цех_CapEx'!P13,0)</f>
        <v>0</v>
      </c>
      <c r="AJ86" s="20" t="str">
        <f>IF(AH$2&gt;='[3]3 цех result'!$C13,$AK86,"")</f>
        <v>Замена:
 Т-1-Т 2500 кВА - 1 шт.
КРУН-6 кВ (7ячеек);
блок МВ-35 кВ на блок ВВ-35 кВ - 1 шт;
ТН-35 кВ - 1 компл.</v>
      </c>
      <c r="AK86" s="12" t="s">
        <v>104</v>
      </c>
      <c r="AL86" s="19"/>
      <c r="AM86" s="71">
        <f t="shared" si="5"/>
        <v>58421.971876085219</v>
      </c>
      <c r="AN86" s="71">
        <f>'[3]3 цех_CapEx'!$V13</f>
        <v>58421.971876085219</v>
      </c>
      <c r="AO86" s="71">
        <f t="shared" si="6"/>
        <v>0</v>
      </c>
      <c r="AP86" s="54" t="s">
        <v>228</v>
      </c>
      <c r="AQ86" s="81" t="s">
        <v>219</v>
      </c>
    </row>
    <row r="87" spans="1:43" ht="135">
      <c r="A87" s="78">
        <v>72</v>
      </c>
      <c r="B87" s="19" t="str">
        <f>'[3]3 цех_CapEx'!$B14</f>
        <v>ПС 110/6кВ 2х6300 кВА "Горбуновская"</v>
      </c>
      <c r="C87" s="32">
        <f>'[3]3 цех_CapEx'!$W14</f>
        <v>1</v>
      </c>
      <c r="D87" s="20">
        <f>IF(D$2='[3]3 цех result'!$C14,'[3]3 цех_CapEx'!F14,0)</f>
        <v>0</v>
      </c>
      <c r="E87" s="20">
        <f>IF(D$2&gt;='[3]3 цех result'!$D14,'[3]3 цех_CapEx'!F14,0)</f>
        <v>0</v>
      </c>
      <c r="F87" s="20" t="str">
        <f>IF(D$2&gt;='[3]3 цех result'!$C14,$AK87,"")</f>
        <v/>
      </c>
      <c r="G87" s="20">
        <f>IF(G$2='[3]3 цех result'!$C14,'[3]3 цех_CapEx'!G14,0)</f>
        <v>0</v>
      </c>
      <c r="H87" s="20">
        <f>IF(G$2&gt;='[3]3 цех result'!$D14,'[3]3 цех_CapEx'!G14,0)</f>
        <v>0</v>
      </c>
      <c r="I87" s="20" t="str">
        <f>IF(G$2&gt;='[3]3 цех result'!$C14,$AK87,"")</f>
        <v/>
      </c>
      <c r="J87" s="20">
        <f>IF(J$2='[3]3 цех result'!$C14,'[3]3 цех_CapEx'!H14,0)</f>
        <v>9826.7649215304009</v>
      </c>
      <c r="K87" s="20">
        <f>IF(J$2&gt;='[3]3 цех result'!$D14,'[3]3 цех_CapEx'!H14,0)</f>
        <v>0</v>
      </c>
      <c r="L87" s="20" t="str">
        <f>IF(J$2&gt;='[3]3 цех result'!$C14,$AK87,"")</f>
        <v>Замена систем ОД-КЗ на ЭВ-110 кВ 1000А  - 2 шт.</v>
      </c>
      <c r="M87" s="20">
        <f>IF(M$2='[3]3 цех result'!$C14,'[3]3 цех_CapEx'!I14,0)</f>
        <v>0</v>
      </c>
      <c r="N87" s="20">
        <f>IF(M$2&gt;='[3]3 цех result'!$D14,'[3]3 цех_CapEx'!I14,0)</f>
        <v>162112.14091048698</v>
      </c>
      <c r="O87" s="20" t="str">
        <f>IF(M$2&gt;='[3]3 цех result'!$C14,$AK87,"")</f>
        <v>Замена систем ОД-КЗ на ЭВ-110 кВ 1000А  - 2 шт.</v>
      </c>
      <c r="P87" s="20">
        <f>IF(P$2='[3]3 цех result'!$C14,'[3]3 цех_CapEx'!J14,0)</f>
        <v>0</v>
      </c>
      <c r="Q87" s="20">
        <f>IF(P$2&gt;='[3]3 цех result'!$D14,'[3]3 цех_CapEx'!J14,0)</f>
        <v>0</v>
      </c>
      <c r="R87" s="20" t="str">
        <f>IF(P$2&gt;='[3]3 цех result'!$C14,$AK87,"")</f>
        <v>Замена систем ОД-КЗ на ЭВ-110 кВ 1000А  - 2 шт.</v>
      </c>
      <c r="S87" s="20">
        <f>IF(S$2='[3]3 цех result'!$C14,'[3]3 цех_CapEx'!K14,0)</f>
        <v>0</v>
      </c>
      <c r="T87" s="20">
        <f>IF(S$2&gt;='[3]3 цех result'!$D14,'[3]3 цех_CapEx'!K14,0)</f>
        <v>0</v>
      </c>
      <c r="U87" s="20" t="str">
        <f>IF(S$2&gt;='[3]3 цех result'!$C14,$AK87,"")</f>
        <v>Замена систем ОД-КЗ на ЭВ-110 кВ 1000А  - 2 шт.</v>
      </c>
      <c r="V87" s="20">
        <f>IF(V$2='[3]3 цех result'!$C14,'[3]3 цех_CapEx'!L14,0)</f>
        <v>0</v>
      </c>
      <c r="W87" s="20">
        <f>IF(V$2&gt;='[3]3 цех result'!$D14,'[3]3 цех_CapEx'!L14,0)</f>
        <v>0</v>
      </c>
      <c r="X87" s="20" t="str">
        <f>IF(V$2&gt;='[3]3 цех result'!$C14,$AK87,"")</f>
        <v>Замена систем ОД-КЗ на ЭВ-110 кВ 1000А  - 2 шт.</v>
      </c>
      <c r="Y87" s="20">
        <f>IF(Y$2='[3]3 цех result'!$C14,'[3]3 цех_CapEx'!M14,0)</f>
        <v>0</v>
      </c>
      <c r="Z87" s="20">
        <f>IF(Y$2&gt;='[3]3 цех result'!$D14,'[3]3 цех_CapEx'!M14,0)</f>
        <v>0</v>
      </c>
      <c r="AA87" s="20" t="str">
        <f>IF(Y$2&gt;='[3]3 цех result'!$C14,$AK87,"")</f>
        <v>Замена систем ОД-КЗ на ЭВ-110 кВ 1000А  - 2 шт.</v>
      </c>
      <c r="AB87" s="20">
        <f>IF(AB$2='[3]3 цех result'!$C14,'[3]3 цех_CapEx'!N14,0)</f>
        <v>0</v>
      </c>
      <c r="AC87" s="20">
        <f>IF(AB$2&gt;='[3]3 цех result'!$D14,'[3]3 цех_CapEx'!N14,0)</f>
        <v>0</v>
      </c>
      <c r="AD87" s="20" t="str">
        <f>IF(AB$2&gt;='[3]3 цех result'!$C14,$AK87,"")</f>
        <v>Замена систем ОД-КЗ на ЭВ-110 кВ 1000А  - 2 шт.</v>
      </c>
      <c r="AE87" s="20">
        <f>IF(AE$2='[3]3 цех result'!$C14,'[3]3 цех_CapEx'!O14,0)</f>
        <v>0</v>
      </c>
      <c r="AF87" s="20">
        <f>IF(AE$2&gt;='[3]3 цех result'!$D14,'[3]3 цех_CapEx'!O14,0)</f>
        <v>0</v>
      </c>
      <c r="AG87" s="20" t="str">
        <f>IF(AE$2&gt;='[3]3 цех result'!$C14,$AK87,"")</f>
        <v>Замена систем ОД-КЗ на ЭВ-110 кВ 1000А  - 2 шт.</v>
      </c>
      <c r="AH87" s="20">
        <f>IF(AH$2='[3]3 цех result'!$C14,'[3]3 цех_CapEx'!P14,0)</f>
        <v>0</v>
      </c>
      <c r="AI87" s="20">
        <f>IF(AH$2&gt;='[3]3 цех result'!$D14,'[3]3 цех_CapEx'!P14,0)</f>
        <v>0</v>
      </c>
      <c r="AJ87" s="20" t="str">
        <f>IF(AH$2&gt;='[3]3 цех result'!$C14,$AK87,"")</f>
        <v>Замена систем ОД-КЗ на ЭВ-110 кВ 1000А  - 2 шт.</v>
      </c>
      <c r="AK87" s="12" t="s">
        <v>105</v>
      </c>
      <c r="AL87" s="19"/>
      <c r="AM87" s="71">
        <f t="shared" si="5"/>
        <v>171938.90583201739</v>
      </c>
      <c r="AN87" s="71">
        <f>'[3]3 цех_CapEx'!$V14</f>
        <v>171938.90583201739</v>
      </c>
      <c r="AO87" s="71">
        <f t="shared" si="6"/>
        <v>0</v>
      </c>
      <c r="AP87" s="53" t="s">
        <v>229</v>
      </c>
      <c r="AQ87" s="81" t="s">
        <v>219</v>
      </c>
    </row>
    <row r="88" spans="1:43" s="31" customFormat="1" hidden="1">
      <c r="A88" s="78">
        <f>A86+1</f>
        <v>72</v>
      </c>
      <c r="B88" s="27" t="s">
        <v>29</v>
      </c>
      <c r="C88" s="41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30"/>
      <c r="AL88" s="27"/>
      <c r="AM88" s="27"/>
      <c r="AN88" s="27"/>
      <c r="AO88" s="27"/>
      <c r="AP88" s="61"/>
      <c r="AQ88" s="77"/>
    </row>
    <row r="89" spans="1:43" ht="140.25" customHeight="1">
      <c r="A89" s="78">
        <v>73</v>
      </c>
      <c r="B89" s="19" t="str">
        <f>'[3]3 цех_CapEx'!$B17</f>
        <v>ПС 110/35/6 кВ 2х25000 кВА "Козловская"</v>
      </c>
      <c r="C89" s="32">
        <f>'[3]3 цех_CapEx'!$W17</f>
        <v>1</v>
      </c>
      <c r="D89" s="20">
        <f>IF(D$2='[3]3 цех result'!$C17,'[3]3 цех_CapEx'!F17,0)</f>
        <v>0</v>
      </c>
      <c r="E89" s="20">
        <f>IF(D$2&gt;='[3]3 цех result'!$D17,'[3]3 цех_CapEx'!F17,0)</f>
        <v>0</v>
      </c>
      <c r="F89" s="20" t="str">
        <f>IF(D$2&gt;='[3]3 цех result'!$C17,$AK89,"")</f>
        <v/>
      </c>
      <c r="G89" s="20">
        <f>IF(G$2='[3]3 цех result'!$C17,'[3]3 цех_CapEx'!G17,0)</f>
        <v>0</v>
      </c>
      <c r="H89" s="20">
        <f>IF(G$2&gt;='[3]3 цех result'!$D17,'[3]3 цех_CapEx'!G17,0)</f>
        <v>0</v>
      </c>
      <c r="I89" s="20" t="str">
        <f>IF(G$2&gt;='[3]3 цех result'!$C17,$AK89,"")</f>
        <v/>
      </c>
      <c r="J89" s="20">
        <f>IF(J$2='[3]3 цех result'!$C17,'[3]3 цех_CapEx'!H17,0)</f>
        <v>0</v>
      </c>
      <c r="K89" s="20">
        <f>IF(J$2&gt;='[3]3 цех result'!$D17,'[3]3 цех_CapEx'!H17,0)</f>
        <v>0</v>
      </c>
      <c r="L89" s="20" t="str">
        <f>IF(J$2&gt;='[3]3 цех result'!$C17,$AK89,"")</f>
        <v/>
      </c>
      <c r="M89" s="20">
        <f>IF(M$2='[3]3 цех result'!$C17,'[3]3 цех_CapEx'!I17,0)</f>
        <v>0</v>
      </c>
      <c r="N89" s="20">
        <f>IF(M$2&gt;='[3]3 цех result'!$D17,'[3]3 цех_CapEx'!I17,0)</f>
        <v>0</v>
      </c>
      <c r="O89" s="20" t="str">
        <f>IF(M$2&gt;='[3]3 цех result'!$C17,$AK89,"")</f>
        <v/>
      </c>
      <c r="P89" s="20">
        <f>IF(P$2='[3]3 цех result'!$C17,'[3]3 цех_CapEx'!J17,0)</f>
        <v>52576.115238271857</v>
      </c>
      <c r="Q89" s="20">
        <f>IF(P$2&gt;='[3]3 цех result'!$D17,'[3]3 цех_CapEx'!J17,0)</f>
        <v>0</v>
      </c>
      <c r="R89" s="20" t="str">
        <f>IF(P$2&gt;='[3]3 цех result'!$C17,$AK89,"")</f>
        <v xml:space="preserve">Реконструкция:
 ОРУ-110 кВ ПС Козловская по схеме 110-9Н с установкой ЭВ-110 кВ - 6 шт.
ОРУ-35 кВ ПС Козловская по схеме 35-9 с установкой ВВ-35 кВ - 1 шт.
 Строительство ВЛ-110 кВ Козловская-Калиновый Ключ 16 км, АС-120;  ВЛ-35кВ Козловская - Южно-Орловская 46,5 км, АС-95. </v>
      </c>
      <c r="S89" s="20">
        <f>IF(S$2='[3]3 цех result'!$C17,'[3]3 цех_CapEx'!K17,0)</f>
        <v>0</v>
      </c>
      <c r="T89" s="20">
        <f>IF(S$2&gt;='[3]3 цех result'!$D17,'[3]3 цех_CapEx'!K17,0)</f>
        <v>0</v>
      </c>
      <c r="U89" s="20" t="str">
        <f>IF(S$2&gt;='[3]3 цех result'!$C17,$AK89,"")</f>
        <v xml:space="preserve">Реконструкция:
 ОРУ-110 кВ ПС Козловская по схеме 110-9Н с установкой ЭВ-110 кВ - 6 шт.
ОРУ-35 кВ ПС Козловская по схеме 35-9 с установкой ВВ-35 кВ - 1 шт.
 Строительство ВЛ-110 кВ Козловская-Калиновый Ключ 16 км, АС-120;  ВЛ-35кВ Козловская - Южно-Орловская 46,5 км, АС-95. </v>
      </c>
      <c r="V89" s="20">
        <f>IF(V$2='[3]3 цех result'!$C17,'[3]3 цех_CapEx'!L17,0)</f>
        <v>0</v>
      </c>
      <c r="W89" s="20">
        <f>IF(V$2&gt;='[3]3 цех result'!$D17,'[3]3 цех_CapEx'!L17,0)</f>
        <v>912445.3433467393</v>
      </c>
      <c r="X89" s="20" t="str">
        <f>IF(V$2&gt;='[3]3 цех result'!$C17,$AK89,"")</f>
        <v xml:space="preserve">Реконструкция:
 ОРУ-110 кВ ПС Козловская по схеме 110-9Н с установкой ЭВ-110 кВ - 6 шт.
ОРУ-35 кВ ПС Козловская по схеме 35-9 с установкой ВВ-35 кВ - 1 шт.
 Строительство ВЛ-110 кВ Козловская-Калиновый Ключ 16 км, АС-120;  ВЛ-35кВ Козловская - Южно-Орловская 46,5 км, АС-95. </v>
      </c>
      <c r="Y89" s="20">
        <f>IF(Y$2='[3]3 цех result'!$C17,'[3]3 цех_CapEx'!M17,0)</f>
        <v>0</v>
      </c>
      <c r="Z89" s="20">
        <f>IF(Y$2&gt;='[3]3 цех result'!$D17,'[3]3 цех_CapEx'!M17,0)</f>
        <v>0</v>
      </c>
      <c r="AA89" s="20" t="str">
        <f>IF(Y$2&gt;='[3]3 цех result'!$C17,$AK89,"")</f>
        <v xml:space="preserve">Реконструкция:
 ОРУ-110 кВ ПС Козловская по схеме 110-9Н с установкой ЭВ-110 кВ - 6 шт.
ОРУ-35 кВ ПС Козловская по схеме 35-9 с установкой ВВ-35 кВ - 1 шт.
 Строительство ВЛ-110 кВ Козловская-Калиновый Ключ 16 км, АС-120;  ВЛ-35кВ Козловская - Южно-Орловская 46,5 км, АС-95. </v>
      </c>
      <c r="AB89" s="20">
        <f>IF(AB$2='[3]3 цех result'!$C17,'[3]3 цех_CapEx'!N17,0)</f>
        <v>0</v>
      </c>
      <c r="AC89" s="20">
        <f>IF(AB$2&gt;='[3]3 цех result'!$D17,'[3]3 цех_CapEx'!N17,0)</f>
        <v>0</v>
      </c>
      <c r="AD89" s="20" t="str">
        <f>IF(AB$2&gt;='[3]3 цех result'!$C17,$AK89,"")</f>
        <v xml:space="preserve">Реконструкция:
 ОРУ-110 кВ ПС Козловская по схеме 110-9Н с установкой ЭВ-110 кВ - 6 шт.
ОРУ-35 кВ ПС Козловская по схеме 35-9 с установкой ВВ-35 кВ - 1 шт.
 Строительство ВЛ-110 кВ Козловская-Калиновый Ключ 16 км, АС-120;  ВЛ-35кВ Козловская - Южно-Орловская 46,5 км, АС-95. </v>
      </c>
      <c r="AE89" s="20">
        <f>IF(AE$2='[3]3 цех result'!$C17,'[3]3 цех_CapEx'!O17,0)</f>
        <v>0</v>
      </c>
      <c r="AF89" s="20">
        <f>IF(AE$2&gt;='[3]3 цех result'!$D17,'[3]3 цех_CapEx'!O17,0)</f>
        <v>0</v>
      </c>
      <c r="AG89" s="20" t="str">
        <f>IF(AE$2&gt;='[3]3 цех result'!$C17,$AK89,"")</f>
        <v xml:space="preserve">Реконструкция:
 ОРУ-110 кВ ПС Козловская по схеме 110-9Н с установкой ЭВ-110 кВ - 6 шт.
ОРУ-35 кВ ПС Козловская по схеме 35-9 с установкой ВВ-35 кВ - 1 шт.
 Строительство ВЛ-110 кВ Козловская-Калиновый Ключ 16 км, АС-120;  ВЛ-35кВ Козловская - Южно-Орловская 46,5 км, АС-95. </v>
      </c>
      <c r="AH89" s="20">
        <f>IF(AH$2='[3]3 цех result'!$C17,'[3]3 цех_CapEx'!P17,0)</f>
        <v>0</v>
      </c>
      <c r="AI89" s="20">
        <f>IF(AH$2&gt;='[3]3 цех result'!$D17,'[3]3 цех_CapEx'!P17,0)</f>
        <v>0</v>
      </c>
      <c r="AJ89" s="20" t="str">
        <f>IF(AH$2&gt;='[3]3 цех result'!$C17,$AK89,"")</f>
        <v xml:space="preserve">Реконструкция:
 ОРУ-110 кВ ПС Козловская по схеме 110-9Н с установкой ЭВ-110 кВ - 6 шт.
ОРУ-35 кВ ПС Козловская по схеме 35-9 с установкой ВВ-35 кВ - 1 шт.
 Строительство ВЛ-110 кВ Козловская-Калиновый Ключ 16 км, АС-120;  ВЛ-35кВ Козловская - Южно-Орловская 46,5 км, АС-95. </v>
      </c>
      <c r="AK89" s="12" t="s">
        <v>99</v>
      </c>
      <c r="AL89" s="19"/>
      <c r="AM89" s="71">
        <f>SUM(D89:AJ89)</f>
        <v>965021.45858501119</v>
      </c>
      <c r="AN89" s="71">
        <f>'[3]3 цех_CapEx'!$V17</f>
        <v>965021.45858501119</v>
      </c>
      <c r="AO89" s="71">
        <f>AM89-AN89</f>
        <v>0</v>
      </c>
      <c r="AP89" s="55" t="s">
        <v>220</v>
      </c>
      <c r="AQ89" s="81" t="s">
        <v>219</v>
      </c>
    </row>
    <row r="90" spans="1:43" ht="180">
      <c r="A90" s="78">
        <v>74</v>
      </c>
      <c r="B90" s="19" t="str">
        <f>'[3]3 цех_CapEx'!$B18</f>
        <v>ПС 35/6 1х4000 кВА  Казанская</v>
      </c>
      <c r="C90" s="32">
        <f>'[3]3 цех_CapEx'!$W18</f>
        <v>1</v>
      </c>
      <c r="D90" s="20">
        <f>IF(D$2='[3]3 цех result'!$C18,'[3]3 цех_CapEx'!F18,0)</f>
        <v>0</v>
      </c>
      <c r="E90" s="20">
        <f>IF(D$2&gt;='[3]3 цех result'!$D18,'[3]3 цех_CapEx'!F18,0)</f>
        <v>0</v>
      </c>
      <c r="F90" s="20" t="str">
        <f>IF(D$2&gt;='[3]3 цех result'!$C18,$AK90,"")</f>
        <v/>
      </c>
      <c r="G90" s="20">
        <f>IF(G$2='[3]3 цех result'!$C18,'[3]3 цех_CapEx'!G18,0)</f>
        <v>0</v>
      </c>
      <c r="H90" s="20">
        <f>IF(G$2&gt;='[3]3 цех result'!$D18,'[3]3 цех_CapEx'!G18,0)</f>
        <v>0</v>
      </c>
      <c r="I90" s="20" t="str">
        <f>IF(G$2&gt;='[3]3 цех result'!$C18,$AK90,"")</f>
        <v/>
      </c>
      <c r="J90" s="20">
        <f>IF(J$2='[3]3 цех result'!$C18,'[3]3 цех_CapEx'!H18,0)</f>
        <v>0</v>
      </c>
      <c r="K90" s="20">
        <f>IF(J$2&gt;='[3]3 цех result'!$D18,'[3]3 цех_CapEx'!H18,0)</f>
        <v>0</v>
      </c>
      <c r="L90" s="20" t="str">
        <f>IF(J$2&gt;='[3]3 цех result'!$C18,$AK90,"")</f>
        <v/>
      </c>
      <c r="M90" s="20">
        <f>IF(M$2='[3]3 цех result'!$C18,'[3]3 цех_CapEx'!I18,0)</f>
        <v>0</v>
      </c>
      <c r="N90" s="20">
        <f>IF(M$2&gt;='[3]3 цех result'!$D18,'[3]3 цех_CapEx'!I18,0)</f>
        <v>0</v>
      </c>
      <c r="O90" s="20" t="str">
        <f>IF(M$2&gt;='[3]3 цех result'!$C18,$AK90,"")</f>
        <v/>
      </c>
      <c r="P90" s="20">
        <f>IF(P$2='[3]3 цех result'!$C18,'[3]3 цех_CapEx'!J18,0)</f>
        <v>6479.5953327131265</v>
      </c>
      <c r="Q90" s="20">
        <f>IF(P$2&gt;='[3]3 цех result'!$D18,'[3]3 цех_CapEx'!J18,0)</f>
        <v>0</v>
      </c>
      <c r="R90" s="20" t="str">
        <f>IF(P$2&gt;='[3]3 цех result'!$C18,$AK90,"")</f>
        <v xml:space="preserve"> КТПБ-35/6 кВ - 1 шт., Т-1,2-Т4000 кВА - 2 шт.
ВВ-35 Т-1,2-Т - 2 шт.
Строительство 2-й ВЛ-35 кВ длиной 7 км от ПС 110/35/6 кВ  "Козловская", установка на ПС 110/35/6 кВ "Козловская" блока ВВ-35 -1 шт.)</v>
      </c>
      <c r="S90" s="20">
        <f>IF(S$2='[3]3 цех result'!$C18,'[3]3 цех_CapEx'!K18,0)</f>
        <v>0</v>
      </c>
      <c r="T90" s="20">
        <f>IF(S$2&gt;='[3]3 цех result'!$D18,'[3]3 цех_CapEx'!K18,0)</f>
        <v>0</v>
      </c>
      <c r="U90" s="20" t="str">
        <f>IF(S$2&gt;='[3]3 цех result'!$C18,$AK90,"")</f>
        <v xml:space="preserve"> КТПБ-35/6 кВ - 1 шт., Т-1,2-Т4000 кВА - 2 шт.
ВВ-35 Т-1,2-Т - 2 шт.
Строительство 2-й ВЛ-35 кВ длиной 7 км от ПС 110/35/6 кВ  "Козловская", установка на ПС 110/35/6 кВ "Козловская" блока ВВ-35 -1 шт.)</v>
      </c>
      <c r="V90" s="20">
        <f>IF(V$2='[3]3 цех result'!$C18,'[3]3 цех_CapEx'!L18,0)</f>
        <v>0</v>
      </c>
      <c r="W90" s="20">
        <f>IF(V$2&gt;='[3]3 цех result'!$D18,'[3]3 цех_CapEx'!L18,0)</f>
        <v>188274.23185609997</v>
      </c>
      <c r="X90" s="20" t="str">
        <f>IF(V$2&gt;='[3]3 цех result'!$C18,$AK90,"")</f>
        <v xml:space="preserve"> КТПБ-35/6 кВ - 1 шт., Т-1,2-Т4000 кВА - 2 шт.
ВВ-35 Т-1,2-Т - 2 шт.
Строительство 2-й ВЛ-35 кВ длиной 7 км от ПС 110/35/6 кВ  "Козловская", установка на ПС 110/35/6 кВ "Козловская" блока ВВ-35 -1 шт.)</v>
      </c>
      <c r="Y90" s="20">
        <f>IF(Y$2='[3]3 цех result'!$C18,'[3]3 цех_CapEx'!M18,0)</f>
        <v>0</v>
      </c>
      <c r="Z90" s="20">
        <f>IF(Y$2&gt;='[3]3 цех result'!$D18,'[3]3 цех_CapEx'!M18,0)</f>
        <v>0</v>
      </c>
      <c r="AA90" s="20" t="str">
        <f>IF(Y$2&gt;='[3]3 цех result'!$C18,$AK90,"")</f>
        <v xml:space="preserve"> КТПБ-35/6 кВ - 1 шт., Т-1,2-Т4000 кВА - 2 шт.
ВВ-35 Т-1,2-Т - 2 шт.
Строительство 2-й ВЛ-35 кВ длиной 7 км от ПС 110/35/6 кВ  "Козловская", установка на ПС 110/35/6 кВ "Козловская" блока ВВ-35 -1 шт.)</v>
      </c>
      <c r="AB90" s="20">
        <f>IF(AB$2='[3]3 цех result'!$C18,'[3]3 цех_CapEx'!N18,0)</f>
        <v>0</v>
      </c>
      <c r="AC90" s="20">
        <f>IF(AB$2&gt;='[3]3 цех result'!$D18,'[3]3 цех_CapEx'!N18,0)</f>
        <v>0</v>
      </c>
      <c r="AD90" s="20" t="str">
        <f>IF(AB$2&gt;='[3]3 цех result'!$C18,$AK90,"")</f>
        <v xml:space="preserve"> КТПБ-35/6 кВ - 1 шт., Т-1,2-Т4000 кВА - 2 шт.
ВВ-35 Т-1,2-Т - 2 шт.
Строительство 2-й ВЛ-35 кВ длиной 7 км от ПС 110/35/6 кВ  "Козловская", установка на ПС 110/35/6 кВ "Козловская" блока ВВ-35 -1 шт.)</v>
      </c>
      <c r="AE90" s="20">
        <f>IF(AE$2='[3]3 цех result'!$C18,'[3]3 цех_CapEx'!O18,0)</f>
        <v>0</v>
      </c>
      <c r="AF90" s="20">
        <f>IF(AE$2&gt;='[3]3 цех result'!$D18,'[3]3 цех_CapEx'!O18,0)</f>
        <v>0</v>
      </c>
      <c r="AG90" s="20" t="str">
        <f>IF(AE$2&gt;='[3]3 цех result'!$C18,$AK90,"")</f>
        <v xml:space="preserve"> КТПБ-35/6 кВ - 1 шт., Т-1,2-Т4000 кВА - 2 шт.
ВВ-35 Т-1,2-Т - 2 шт.
Строительство 2-й ВЛ-35 кВ длиной 7 км от ПС 110/35/6 кВ  "Козловская", установка на ПС 110/35/6 кВ "Козловская" блока ВВ-35 -1 шт.)</v>
      </c>
      <c r="AH90" s="20">
        <f>IF(AH$2='[3]3 цех result'!$C18,'[3]3 цех_CapEx'!P18,0)</f>
        <v>0</v>
      </c>
      <c r="AI90" s="20">
        <f>IF(AH$2&gt;='[3]3 цех result'!$D18,'[3]3 цех_CapEx'!P18,0)</f>
        <v>0</v>
      </c>
      <c r="AJ90" s="20" t="str">
        <f>IF(AH$2&gt;='[3]3 цех result'!$C18,$AK90,"")</f>
        <v xml:space="preserve"> КТПБ-35/6 кВ - 1 шт., Т-1,2-Т4000 кВА - 2 шт.
ВВ-35 Т-1,2-Т - 2 шт.
Строительство 2-й ВЛ-35 кВ длиной 7 км от ПС 110/35/6 кВ  "Козловская", установка на ПС 110/35/6 кВ "Козловская" блока ВВ-35 -1 шт.)</v>
      </c>
      <c r="AK90" s="12" t="s">
        <v>106</v>
      </c>
      <c r="AL90" s="19"/>
      <c r="AM90" s="71">
        <f>SUM(D90:AJ90)</f>
        <v>194753.8271888131</v>
      </c>
      <c r="AN90" s="71">
        <f>'[3]3 цех_CapEx'!$V18</f>
        <v>194753.8271888131</v>
      </c>
      <c r="AO90" s="71">
        <f>AM90-AN90</f>
        <v>0</v>
      </c>
      <c r="AP90" s="54" t="s">
        <v>230</v>
      </c>
      <c r="AQ90" s="81" t="s">
        <v>219</v>
      </c>
    </row>
    <row r="91" spans="1:43" s="38" customFormat="1" hidden="1">
      <c r="A91" s="78">
        <f>A89+1</f>
        <v>74</v>
      </c>
      <c r="B91" s="27" t="s">
        <v>30</v>
      </c>
      <c r="C91" s="41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30"/>
      <c r="AL91" s="27"/>
      <c r="AM91" s="27"/>
      <c r="AN91" s="27"/>
      <c r="AO91" s="27"/>
      <c r="AP91" s="61"/>
      <c r="AQ91" s="77"/>
    </row>
    <row r="92" spans="1:43" ht="240">
      <c r="A92" s="78">
        <v>75</v>
      </c>
      <c r="B92" s="19" t="str">
        <f>'[3]3 цех_CapEx'!$B21</f>
        <v>ПС 110/35/6 кВ 2х16000 кВА "Радаевская"</v>
      </c>
      <c r="C92" s="32">
        <f>'[3]3 цех_CapEx'!$W21</f>
        <v>1</v>
      </c>
      <c r="D92" s="20">
        <f>IF(D$2='[3]3 цех result'!$C21,'[3]3 цех_CapEx'!F21,0)</f>
        <v>0</v>
      </c>
      <c r="E92" s="20">
        <f>IF(D$2&gt;='[3]3 цех result'!$D21,'[3]3 цех_CapEx'!F21,0)</f>
        <v>0</v>
      </c>
      <c r="F92" s="20" t="str">
        <f>IF(D$2&gt;='[3]3 цех result'!$C21,$AK92,"")</f>
        <v/>
      </c>
      <c r="G92" s="20">
        <f>IF(G$2='[3]3 цех result'!$C21,'[3]3 цех_CapEx'!G21,0)</f>
        <v>0</v>
      </c>
      <c r="H92" s="20">
        <f>IF(G$2&gt;='[3]3 цех result'!$D21,'[3]3 цех_CapEx'!G21,0)</f>
        <v>0</v>
      </c>
      <c r="I92" s="20" t="str">
        <f>IF(G$2&gt;='[3]3 цех result'!$C21,$AK92,"")</f>
        <v/>
      </c>
      <c r="J92" s="20">
        <f>IF(J$2='[3]3 цех result'!$C21,'[3]3 цех_CapEx'!H21,0)</f>
        <v>0</v>
      </c>
      <c r="K92" s="20">
        <f>IF(J$2&gt;='[3]3 цех result'!$D21,'[3]3 цех_CapEx'!H21,0)</f>
        <v>0</v>
      </c>
      <c r="L92" s="20" t="str">
        <f>IF(J$2&gt;='[3]3 цех result'!$C21,$AK92,"")</f>
        <v/>
      </c>
      <c r="M92" s="20">
        <f>IF(M$2='[3]3 цех result'!$C21,'[3]3 цех_CapEx'!I21,0)</f>
        <v>35912.830296635017</v>
      </c>
      <c r="N92" s="20">
        <f>IF(M$2&gt;='[3]3 цех result'!$D21,'[3]3 цех_CapEx'!I21,0)</f>
        <v>0</v>
      </c>
      <c r="O92" s="20" t="str">
        <f>IF(M$2&gt;='[3]3 цех result'!$C21,$AK92,"")</f>
        <v>Замена систем ОД-КЗ на ЭВ110 кВ. - 2 шт.  
Реконструкция: ОРУ 110 кВ по схеме 110-9 с установкой  ЭВ-110 кВ -6  шт., 1000 А;
Расширение ОРУ-110 кВ на ПС 220 Серноводская с установкой ЭВ-110 кВ - 1 шт.
Строительсво ВЛ-110кВ Радаевская - Серноводская 23 км, АС-120.</v>
      </c>
      <c r="P92" s="20">
        <f>IF(P$2='[3]3 цех result'!$C21,'[3]3 цех_CapEx'!J21,0)</f>
        <v>0</v>
      </c>
      <c r="Q92" s="20">
        <f>IF(P$2&gt;='[3]3 цех result'!$D21,'[3]3 цех_CapEx'!J21,0)</f>
        <v>597517.67047541344</v>
      </c>
      <c r="R92" s="20" t="str">
        <f>IF(P$2&gt;='[3]3 цех result'!$C21,$AK92,"")</f>
        <v>Замена систем ОД-КЗ на ЭВ110 кВ. - 2 шт.  
Реконструкция: ОРУ 110 кВ по схеме 110-9 с установкой  ЭВ-110 кВ -6  шт., 1000 А;
Расширение ОРУ-110 кВ на ПС 220 Серноводская с установкой ЭВ-110 кВ - 1 шт.
Строительсво ВЛ-110кВ Радаевская - Серноводская 23 км, АС-120.</v>
      </c>
      <c r="S92" s="20">
        <f>IF(S$2='[3]3 цех result'!$C21,'[3]3 цех_CapEx'!K21,0)</f>
        <v>0</v>
      </c>
      <c r="T92" s="20">
        <f>IF(S$2&gt;='[3]3 цех result'!$D21,'[3]3 цех_CapEx'!K21,0)</f>
        <v>0</v>
      </c>
      <c r="U92" s="20" t="str">
        <f>IF(S$2&gt;='[3]3 цех result'!$C21,$AK92,"")</f>
        <v>Замена систем ОД-КЗ на ЭВ110 кВ. - 2 шт.  
Реконструкция: ОРУ 110 кВ по схеме 110-9 с установкой  ЭВ-110 кВ -6  шт., 1000 А;
Расширение ОРУ-110 кВ на ПС 220 Серноводская с установкой ЭВ-110 кВ - 1 шт.
Строительсво ВЛ-110кВ Радаевская - Серноводская 23 км, АС-120.</v>
      </c>
      <c r="V92" s="20">
        <f>IF(V$2='[3]3 цех result'!$C21,'[3]3 цех_CapEx'!L21,0)</f>
        <v>0</v>
      </c>
      <c r="W92" s="20">
        <f>IF(V$2&gt;='[3]3 цех result'!$D21,'[3]3 цех_CapEx'!L21,0)</f>
        <v>0</v>
      </c>
      <c r="X92" s="20" t="str">
        <f>IF(V$2&gt;='[3]3 цех result'!$C21,$AK92,"")</f>
        <v>Замена систем ОД-КЗ на ЭВ110 кВ. - 2 шт.  
Реконструкция: ОРУ 110 кВ по схеме 110-9 с установкой  ЭВ-110 кВ -6  шт., 1000 А;
Расширение ОРУ-110 кВ на ПС 220 Серноводская с установкой ЭВ-110 кВ - 1 шт.
Строительсво ВЛ-110кВ Радаевская - Серноводская 23 км, АС-120.</v>
      </c>
      <c r="Y92" s="20">
        <f>IF(Y$2='[3]3 цех result'!$C21,'[3]3 цех_CapEx'!M21,0)</f>
        <v>0</v>
      </c>
      <c r="Z92" s="20">
        <f>IF(Y$2&gt;='[3]3 цех result'!$D21,'[3]3 цех_CapEx'!M21,0)</f>
        <v>0</v>
      </c>
      <c r="AA92" s="20" t="str">
        <f>IF(Y$2&gt;='[3]3 цех result'!$C21,$AK92,"")</f>
        <v>Замена систем ОД-КЗ на ЭВ110 кВ. - 2 шт.  
Реконструкция: ОРУ 110 кВ по схеме 110-9 с установкой  ЭВ-110 кВ -6  шт., 1000 А;
Расширение ОРУ-110 кВ на ПС 220 Серноводская с установкой ЭВ-110 кВ - 1 шт.
Строительсво ВЛ-110кВ Радаевская - Серноводская 23 км, АС-120.</v>
      </c>
      <c r="AB92" s="20">
        <f>IF(AB$2='[3]3 цех result'!$C21,'[3]3 цех_CapEx'!N21,0)</f>
        <v>0</v>
      </c>
      <c r="AC92" s="20">
        <f>IF(AB$2&gt;='[3]3 цех result'!$D21,'[3]3 цех_CapEx'!N21,0)</f>
        <v>0</v>
      </c>
      <c r="AD92" s="20" t="str">
        <f>IF(AB$2&gt;='[3]3 цех result'!$C21,$AK92,"")</f>
        <v>Замена систем ОД-КЗ на ЭВ110 кВ. - 2 шт.  
Реконструкция: ОРУ 110 кВ по схеме 110-9 с установкой  ЭВ-110 кВ -6  шт., 1000 А;
Расширение ОРУ-110 кВ на ПС 220 Серноводская с установкой ЭВ-110 кВ - 1 шт.
Строительсво ВЛ-110кВ Радаевская - Серноводская 23 км, АС-120.</v>
      </c>
      <c r="AE92" s="20">
        <f>IF(AE$2='[3]3 цех result'!$C21,'[3]3 цех_CapEx'!O21,0)</f>
        <v>0</v>
      </c>
      <c r="AF92" s="20">
        <f>IF(AE$2&gt;='[3]3 цех result'!$D21,'[3]3 цех_CapEx'!O21,0)</f>
        <v>0</v>
      </c>
      <c r="AG92" s="20" t="str">
        <f>IF(AE$2&gt;='[3]3 цех result'!$C21,$AK92,"")</f>
        <v>Замена систем ОД-КЗ на ЭВ110 кВ. - 2 шт.  
Реконструкция: ОРУ 110 кВ по схеме 110-9 с установкой  ЭВ-110 кВ -6  шт., 1000 А;
Расширение ОРУ-110 кВ на ПС 220 Серноводская с установкой ЭВ-110 кВ - 1 шт.
Строительсво ВЛ-110кВ Радаевская - Серноводская 23 км, АС-120.</v>
      </c>
      <c r="AH92" s="20">
        <f>IF(AH$2='[3]3 цех result'!$C21,'[3]3 цех_CapEx'!P21,0)</f>
        <v>0</v>
      </c>
      <c r="AI92" s="20">
        <f>IF(AH$2&gt;='[3]3 цех result'!$D21,'[3]3 цех_CapEx'!P21,0)</f>
        <v>0</v>
      </c>
      <c r="AJ92" s="20" t="str">
        <f>IF(AH$2&gt;='[3]3 цех result'!$C21,$AK92,"")</f>
        <v>Замена систем ОД-КЗ на ЭВ110 кВ. - 2 шт.  
Реконструкция: ОРУ 110 кВ по схеме 110-9 с установкой  ЭВ-110 кВ -6  шт., 1000 А;
Расширение ОРУ-110 кВ на ПС 220 Серноводская с установкой ЭВ-110 кВ - 1 шт.
Строительсво ВЛ-110кВ Радаевская - Серноводская 23 км, АС-120.</v>
      </c>
      <c r="AK92" s="12" t="s">
        <v>107</v>
      </c>
      <c r="AL92" s="19"/>
      <c r="AM92" s="71">
        <f>SUM(D92:AJ92)</f>
        <v>633430.50077204849</v>
      </c>
      <c r="AN92" s="71">
        <f>'[3]3 цех_CapEx'!$V21</f>
        <v>633430.50077204849</v>
      </c>
      <c r="AO92" s="71">
        <f>AM92-AN92</f>
        <v>0</v>
      </c>
      <c r="AP92" s="54" t="s">
        <v>231</v>
      </c>
      <c r="AQ92" s="81" t="s">
        <v>219</v>
      </c>
    </row>
    <row r="93" spans="1:43" ht="75">
      <c r="A93" s="78">
        <v>76</v>
      </c>
      <c r="B93" s="19" t="str">
        <f>'[3]3 цех_CapEx'!$B23</f>
        <v>ПС 35/6кВ 1х4000кВА "БКНС"</v>
      </c>
      <c r="C93" s="32">
        <f>'[3]3 цех_CapEx'!$W23</f>
        <v>1</v>
      </c>
      <c r="D93" s="20">
        <f>IF(D$2='[3]3 цех result'!$C23,'[3]3 цех_CapEx'!F23,0)</f>
        <v>0</v>
      </c>
      <c r="E93" s="20">
        <f>IF(D$2&gt;='[3]3 цех result'!$D23,'[3]3 цех_CapEx'!F23,0)</f>
        <v>0</v>
      </c>
      <c r="F93" s="20" t="str">
        <f>IF(D$2&gt;='[3]3 цех result'!$C23,$AK93,"")</f>
        <v/>
      </c>
      <c r="G93" s="20">
        <f>IF(G$2='[3]3 цех result'!$C23,'[3]3 цех_CapEx'!G23,0)</f>
        <v>0</v>
      </c>
      <c r="H93" s="20">
        <f>IF(G$2&gt;='[3]3 цех result'!$D23,'[3]3 цех_CapEx'!G23,0)</f>
        <v>0</v>
      </c>
      <c r="I93" s="20" t="str">
        <f>IF(G$2&gt;='[3]3 цех result'!$C23,$AK93,"")</f>
        <v/>
      </c>
      <c r="J93" s="20">
        <f>IF(J$2='[3]3 цех result'!$C23,'[3]3 цех_CapEx'!H23,0)</f>
        <v>0</v>
      </c>
      <c r="K93" s="20">
        <f>IF(J$2&gt;='[3]3 цех result'!$D23,'[3]3 цех_CapEx'!H23,0)</f>
        <v>0</v>
      </c>
      <c r="L93" s="20" t="str">
        <f>IF(J$2&gt;='[3]3 цех result'!$C23,$AK93,"")</f>
        <v/>
      </c>
      <c r="M93" s="20">
        <f>IF(M$2='[3]3 цех result'!$C23,'[3]3 цех_CapEx'!I23,0)</f>
        <v>0</v>
      </c>
      <c r="N93" s="20">
        <f>IF(M$2&gt;='[3]3 цех result'!$D23,'[3]3 цех_CapEx'!I23,0)</f>
        <v>0</v>
      </c>
      <c r="O93" s="20" t="str">
        <f>IF(M$2&gt;='[3]3 цех result'!$C23,$AK93,"")</f>
        <v/>
      </c>
      <c r="P93" s="20">
        <f>IF(P$2='[3]3 цех result'!$C23,'[3]3 цех_CapEx'!J23,0)</f>
        <v>0</v>
      </c>
      <c r="Q93" s="20">
        <f>IF(P$2&gt;='[3]3 цех result'!$D23,'[3]3 цех_CapEx'!J23,0)</f>
        <v>0</v>
      </c>
      <c r="R93" s="20" t="str">
        <f>IF(P$2&gt;='[3]3 цех result'!$C23,$AK93,"")</f>
        <v/>
      </c>
      <c r="S93" s="20">
        <f>IF(S$2='[3]3 цех result'!$C23,'[3]3 цех_CapEx'!K23,0)</f>
        <v>0</v>
      </c>
      <c r="T93" s="20">
        <f>IF(S$2&gt;='[3]3 цех result'!$D23,'[3]3 цех_CapEx'!K23,0)</f>
        <v>0</v>
      </c>
      <c r="U93" s="20" t="str">
        <f>IF(S$2&gt;='[3]3 цех result'!$C23,$AK93,"")</f>
        <v/>
      </c>
      <c r="V93" s="20">
        <f>IF(V$2='[3]3 цех result'!$C23,'[3]3 цех_CapEx'!L23,0)</f>
        <v>0</v>
      </c>
      <c r="W93" s="20">
        <f>IF(V$2&gt;='[3]3 цех result'!$D23,'[3]3 цех_CapEx'!L23,0)</f>
        <v>0</v>
      </c>
      <c r="X93" s="20" t="str">
        <f>IF(V$2&gt;='[3]3 цех result'!$C23,$AK93,"")</f>
        <v/>
      </c>
      <c r="Y93" s="20">
        <f>IF(Y$2='[3]3 цех result'!$C23,'[3]3 цех_CapEx'!M23,0)</f>
        <v>1751.7934675254414</v>
      </c>
      <c r="Z93" s="20">
        <f>IF(Y$2&gt;='[3]3 цех result'!$D23,'[3]3 цех_CapEx'!M23,0)</f>
        <v>0</v>
      </c>
      <c r="AA93" s="20" t="str">
        <f>IF(Y$2&gt;='[3]3 цех result'!$C23,$AK93,"")</f>
        <v>Змена:
 Т-1-Т  - 1 шт., 35/6 кВ 4000 кВА с устройством АРН и РПН. ВВ-35 кВ 1 шт.</v>
      </c>
      <c r="AB93" s="20">
        <f>IF(AB$2='[3]3 цех result'!$C23,'[3]3 цех_CapEx'!N23,0)</f>
        <v>0</v>
      </c>
      <c r="AC93" s="20">
        <f>IF(AB$2&gt;='[3]3 цех result'!$D23,'[3]3 цех_CapEx'!N23,0)</f>
        <v>57774.148558989065</v>
      </c>
      <c r="AD93" s="20" t="str">
        <f>IF(AB$2&gt;='[3]3 цех result'!$C23,$AK93,"")</f>
        <v>Змена:
 Т-1-Т  - 1 шт., 35/6 кВ 4000 кВА с устройством АРН и РПН. ВВ-35 кВ 1 шт.</v>
      </c>
      <c r="AE93" s="20">
        <f>IF(AE$2='[3]3 цех result'!$C23,'[3]3 цех_CapEx'!O23,0)</f>
        <v>0</v>
      </c>
      <c r="AF93" s="20">
        <f>IF(AE$2&gt;='[3]3 цех result'!$D23,'[3]3 цех_CapEx'!O23,0)</f>
        <v>0</v>
      </c>
      <c r="AG93" s="20" t="str">
        <f>IF(AE$2&gt;='[3]3 цех result'!$C23,$AK93,"")</f>
        <v>Змена:
 Т-1-Т  - 1 шт., 35/6 кВ 4000 кВА с устройством АРН и РПН. ВВ-35 кВ 1 шт.</v>
      </c>
      <c r="AH93" s="20">
        <f>IF(AH$2='[3]3 цех result'!$C23,'[3]3 цех_CapEx'!P23,0)</f>
        <v>0</v>
      </c>
      <c r="AI93" s="20">
        <f>IF(AH$2&gt;='[3]3 цех result'!$D23,'[3]3 цех_CapEx'!P23,0)</f>
        <v>0</v>
      </c>
      <c r="AJ93" s="20" t="str">
        <f>IF(AH$2&gt;='[3]3 цех result'!$C23,$AK93,"")</f>
        <v>Змена:
 Т-1-Т  - 1 шт., 35/6 кВ 4000 кВА с устройством АРН и РПН. ВВ-35 кВ 1 шт.</v>
      </c>
      <c r="AK93" s="12" t="s">
        <v>108</v>
      </c>
      <c r="AL93" s="19"/>
      <c r="AM93" s="71">
        <f>SUM(D93:AJ93)</f>
        <v>59525.942026514509</v>
      </c>
      <c r="AN93" s="71">
        <f>'[3]3 цех_CapEx'!$V23</f>
        <v>59525.942026514509</v>
      </c>
      <c r="AO93" s="71">
        <f>AM93-AN93</f>
        <v>0</v>
      </c>
      <c r="AP93" s="54" t="s">
        <v>232</v>
      </c>
      <c r="AQ93" s="81" t="s">
        <v>219</v>
      </c>
    </row>
    <row r="94" spans="1:43" s="38" customFormat="1" ht="30" hidden="1">
      <c r="A94" s="78">
        <f>A92+1</f>
        <v>76</v>
      </c>
      <c r="B94" s="27" t="s">
        <v>31</v>
      </c>
      <c r="C94" s="41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30"/>
      <c r="AL94" s="27"/>
      <c r="AM94" s="27"/>
      <c r="AN94" s="27"/>
      <c r="AO94" s="27"/>
      <c r="AP94" s="59" t="s">
        <v>233</v>
      </c>
      <c r="AQ94" s="81" t="s">
        <v>219</v>
      </c>
    </row>
    <row r="95" spans="1:43" ht="90">
      <c r="A95" s="78">
        <v>77</v>
      </c>
      <c r="B95" s="19" t="str">
        <f>'[3]3 цех_CapEx'!$B25</f>
        <v>ПС 35/6 кВ 2х4000 кВА "КНС"</v>
      </c>
      <c r="C95" s="32">
        <f>'[3]3 цех_CapEx'!$W25</f>
        <v>1</v>
      </c>
      <c r="D95" s="20">
        <f>IF(D$2='[3]3 цех result'!$C25,'[3]3 цех_CapEx'!F25,0)</f>
        <v>0</v>
      </c>
      <c r="E95" s="20">
        <f>IF(D$2&gt;='[3]3 цех result'!$D25,'[3]3 цех_CapEx'!F25,0)</f>
        <v>0</v>
      </c>
      <c r="F95" s="20" t="str">
        <f>IF(D$2&gt;='[3]3 цех result'!$C25,$AK95,"")</f>
        <v/>
      </c>
      <c r="G95" s="20">
        <f>IF(G$2='[3]3 цех result'!$C25,'[3]3 цех_CapEx'!G25,0)</f>
        <v>0</v>
      </c>
      <c r="H95" s="20">
        <f>IF(G$2&gt;='[3]3 цех result'!$D25,'[3]3 цех_CapEx'!G25,0)</f>
        <v>0</v>
      </c>
      <c r="I95" s="20" t="str">
        <f>IF(G$2&gt;='[3]3 цех result'!$C25,$AK95,"")</f>
        <v/>
      </c>
      <c r="J95" s="20">
        <f>IF(J$2='[3]3 цех result'!$C25,'[3]3 цех_CapEx'!H25,0)</f>
        <v>0</v>
      </c>
      <c r="K95" s="20">
        <f>IF(J$2&gt;='[3]3 цех result'!$D25,'[3]3 цех_CapEx'!H25,0)</f>
        <v>0</v>
      </c>
      <c r="L95" s="20" t="str">
        <f>IF(J$2&gt;='[3]3 цех result'!$C25,$AK95,"")</f>
        <v/>
      </c>
      <c r="M95" s="20">
        <f>IF(M$2='[3]3 цех result'!$C25,'[3]3 цех_CapEx'!I25,0)</f>
        <v>0</v>
      </c>
      <c r="N95" s="20">
        <f>IF(M$2&gt;='[3]3 цех result'!$D25,'[3]3 цех_CapEx'!I25,0)</f>
        <v>0</v>
      </c>
      <c r="O95" s="20" t="str">
        <f>IF(M$2&gt;='[3]3 цех result'!$C25,$AK95,"")</f>
        <v/>
      </c>
      <c r="P95" s="20">
        <f>IF(P$2='[3]3 цех result'!$C25,'[3]3 цех_CapEx'!J25,0)</f>
        <v>0</v>
      </c>
      <c r="Q95" s="20">
        <f>IF(P$2&gt;='[3]3 цех result'!$D25,'[3]3 цех_CapEx'!J25,0)</f>
        <v>0</v>
      </c>
      <c r="R95" s="20" t="str">
        <f>IF(P$2&gt;='[3]3 цех result'!$C25,$AK95,"")</f>
        <v/>
      </c>
      <c r="S95" s="20">
        <f>IF(S$2='[3]3 цех result'!$C25,'[3]3 цех_CapEx'!K25,0)</f>
        <v>1406.8200916049477</v>
      </c>
      <c r="T95" s="20">
        <f>IF(S$2&gt;='[3]3 цех result'!$D25,'[3]3 цех_CapEx'!K25,0)</f>
        <v>0</v>
      </c>
      <c r="U95" s="20" t="str">
        <f>IF(S$2&gt;='[3]3 цех result'!$C25,$AK95,"")</f>
        <v>Реконструкция ОРУ-35 кВ по схеме 35-5Н с установкой  ВВ-35 кВ 1000А - 3 шт.
Заходы 35 кВ 2*0,2 км, АС-95</v>
      </c>
      <c r="V95" s="20">
        <f>IF(V$2='[3]3 цех result'!$C25,'[3]3 цех_CapEx'!L25,0)</f>
        <v>0</v>
      </c>
      <c r="W95" s="20">
        <f>IF(V$2&gt;='[3]3 цех result'!$D25,'[3]3 цех_CapEx'!L25,0)</f>
        <v>0</v>
      </c>
      <c r="X95" s="20" t="str">
        <f>IF(V$2&gt;='[3]3 цех result'!$C25,$AK95,"")</f>
        <v>Реконструкция ОРУ-35 кВ по схеме 35-5Н с установкой  ВВ-35 кВ 1000А - 3 шт.
Заходы 35 кВ 2*0,2 км, АС-95</v>
      </c>
      <c r="Y95" s="20">
        <f>IF(Y$2='[3]3 цех result'!$C25,'[3]3 цех_CapEx'!M25,0)</f>
        <v>0</v>
      </c>
      <c r="Z95" s="20">
        <f>IF(Y$2&gt;='[3]3 цех result'!$D25,'[3]3 цех_CapEx'!M25,0)</f>
        <v>48078.441592816176</v>
      </c>
      <c r="AA95" s="20" t="str">
        <f>IF(Y$2&gt;='[3]3 цех result'!$C25,$AK95,"")</f>
        <v>Реконструкция ОРУ-35 кВ по схеме 35-5Н с установкой  ВВ-35 кВ 1000А - 3 шт.
Заходы 35 кВ 2*0,2 км, АС-95</v>
      </c>
      <c r="AB95" s="20">
        <f>IF(AB$2='[3]3 цех result'!$C25,'[3]3 цех_CapEx'!N25,0)</f>
        <v>0</v>
      </c>
      <c r="AC95" s="20">
        <f>IF(AB$2&gt;='[3]3 цех result'!$D25,'[3]3 цех_CapEx'!N25,0)</f>
        <v>0</v>
      </c>
      <c r="AD95" s="20" t="str">
        <f>IF(AB$2&gt;='[3]3 цех result'!$C25,$AK95,"")</f>
        <v>Реконструкция ОРУ-35 кВ по схеме 35-5Н с установкой  ВВ-35 кВ 1000А - 3 шт.
Заходы 35 кВ 2*0,2 км, АС-95</v>
      </c>
      <c r="AE95" s="20">
        <f>IF(AE$2='[3]3 цех result'!$C25,'[3]3 цех_CapEx'!O25,0)</f>
        <v>0</v>
      </c>
      <c r="AF95" s="20">
        <f>IF(AE$2&gt;='[3]3 цех result'!$D25,'[3]3 цех_CapEx'!O25,0)</f>
        <v>0</v>
      </c>
      <c r="AG95" s="20" t="str">
        <f>IF(AE$2&gt;='[3]3 цех result'!$C25,$AK95,"")</f>
        <v>Реконструкция ОРУ-35 кВ по схеме 35-5Н с установкой  ВВ-35 кВ 1000А - 3 шт.
Заходы 35 кВ 2*0,2 км, АС-95</v>
      </c>
      <c r="AH95" s="20">
        <f>IF(AH$2='[3]3 цех result'!$C25,'[3]3 цех_CapEx'!P25,0)</f>
        <v>0</v>
      </c>
      <c r="AI95" s="20">
        <f>IF(AH$2&gt;='[3]3 цех result'!$D25,'[3]3 цех_CapEx'!P25,0)</f>
        <v>0</v>
      </c>
      <c r="AJ95" s="20" t="str">
        <f>IF(AH$2&gt;='[3]3 цех result'!$C25,$AK95,"")</f>
        <v>Реконструкция ОРУ-35 кВ по схеме 35-5Н с установкой  ВВ-35 кВ 1000А - 3 шт.
Заходы 35 кВ 2*0,2 км, АС-95</v>
      </c>
      <c r="AK95" s="12" t="s">
        <v>109</v>
      </c>
      <c r="AL95" s="19"/>
      <c r="AM95" s="71">
        <f>SUM(D95:AJ95)</f>
        <v>49485.261684421122</v>
      </c>
      <c r="AN95" s="71">
        <f>'[3]3 цех_CapEx'!$V25</f>
        <v>49485.261684421122</v>
      </c>
      <c r="AO95" s="71">
        <f>AM95-AN95</f>
        <v>0</v>
      </c>
      <c r="AP95" s="59" t="s">
        <v>233</v>
      </c>
      <c r="AQ95" s="81" t="s">
        <v>219</v>
      </c>
    </row>
    <row r="96" spans="1:43" ht="210">
      <c r="A96" s="78">
        <v>78</v>
      </c>
      <c r="B96" s="19" t="str">
        <f>'[3]3 цех_CapEx'!$B26</f>
        <v>ПС 35/6 кВ       4000 кВА "Орлянская"</v>
      </c>
      <c r="C96" s="32">
        <f>'[3]3 цех_CapEx'!$W26</f>
        <v>1</v>
      </c>
      <c r="D96" s="20">
        <f>IF(D$2='[3]3 цех result'!$C26,'[3]3 цех_CapEx'!F26,0)</f>
        <v>0</v>
      </c>
      <c r="E96" s="20">
        <f>IF(D$2&gt;='[3]3 цех result'!$D26,'[3]3 цех_CapEx'!F26,0)</f>
        <v>0</v>
      </c>
      <c r="F96" s="20" t="str">
        <f>IF(D$2&gt;='[3]3 цех result'!$C26,$AK96,"")</f>
        <v xml:space="preserve">Реконструкция ОРУ-35 кВ по схеме 35-9 с установкой ВВ-35кВ 1000А - 5 шт. 
Установка на ПС 35/6 Орлянская Т-1,2-Т 35/6 4000 кВА - 2 шт.
Монтаж АВР 6кВ. Организация захода ВЛ-35 Козловская на ПС Орлянская с целью ликвидации отпайки 0,1 км., АС-95 </v>
      </c>
      <c r="G96" s="20">
        <f>IF(G$2='[3]3 цех result'!$C26,'[3]3 цех_CapEx'!G26,0)</f>
        <v>0</v>
      </c>
      <c r="H96" s="20">
        <f>IF(G$2&gt;='[3]3 цех result'!$D26,'[3]3 цех_CapEx'!G26,0)</f>
        <v>0</v>
      </c>
      <c r="I96" s="20" t="str">
        <f>IF(G$2&gt;='[3]3 цех result'!$C26,$AK96,"")</f>
        <v xml:space="preserve">Реконструкция ОРУ-35 кВ по схеме 35-9 с установкой ВВ-35кВ 1000А - 5 шт. 
Установка на ПС 35/6 Орлянская Т-1,2-Т 35/6 4000 кВА - 2 шт.
Монтаж АВР 6кВ. Организация захода ВЛ-35 Козловская на ПС Орлянская с целью ликвидации отпайки 0,1 км., АС-95 </v>
      </c>
      <c r="J96" s="20">
        <f>IF(J$2='[3]3 цех result'!$C26,'[3]3 цех_CapEx'!H26,0)</f>
        <v>0</v>
      </c>
      <c r="K96" s="20">
        <f>IF(J$2&gt;='[3]3 цех result'!$D26,'[3]3 цех_CapEx'!H26,0)</f>
        <v>0</v>
      </c>
      <c r="L96" s="20" t="str">
        <f>IF(J$2&gt;='[3]3 цех result'!$C26,$AK96,"")</f>
        <v xml:space="preserve">Реконструкция ОРУ-35 кВ по схеме 35-9 с установкой ВВ-35кВ 1000А - 5 шт. 
Установка на ПС 35/6 Орлянская Т-1,2-Т 35/6 4000 кВА - 2 шт.
Монтаж АВР 6кВ. Организация захода ВЛ-35 Козловская на ПС Орлянская с целью ликвидации отпайки 0,1 км., АС-95 </v>
      </c>
      <c r="M96" s="20">
        <f>IF(M$2='[3]3 цех result'!$C26,'[3]3 цех_CapEx'!I26,0)</f>
        <v>0</v>
      </c>
      <c r="N96" s="20">
        <f>IF(M$2&gt;='[3]3 цех result'!$D26,'[3]3 цех_CapEx'!I26,0)</f>
        <v>0</v>
      </c>
      <c r="O96" s="20" t="str">
        <f>IF(M$2&gt;='[3]3 цех result'!$C26,$AK96,"")</f>
        <v xml:space="preserve">Реконструкция ОРУ-35 кВ по схеме 35-9 с установкой ВВ-35кВ 1000А - 5 шт. 
Установка на ПС 35/6 Орлянская Т-1,2-Т 35/6 4000 кВА - 2 шт.
Монтаж АВР 6кВ. Организация захода ВЛ-35 Козловская на ПС Орлянская с целью ликвидации отпайки 0,1 км., АС-95 </v>
      </c>
      <c r="P96" s="20">
        <f>IF(P$2='[3]3 цех result'!$C26,'[3]3 цех_CapEx'!J26,0)</f>
        <v>0</v>
      </c>
      <c r="Q96" s="20">
        <f>IF(P$2&gt;='[3]3 цех result'!$D26,'[3]3 цех_CapEx'!J26,0)</f>
        <v>0</v>
      </c>
      <c r="R96" s="20" t="str">
        <f>IF(P$2&gt;='[3]3 цех result'!$C26,$AK96,"")</f>
        <v xml:space="preserve">Реконструкция ОРУ-35 кВ по схеме 35-9 с установкой ВВ-35кВ 1000А - 5 шт. 
Установка на ПС 35/6 Орлянская Т-1,2-Т 35/6 4000 кВА - 2 шт.
Монтаж АВР 6кВ. Организация захода ВЛ-35 Козловская на ПС Орлянская с целью ликвидации отпайки 0,1 км., АС-95 </v>
      </c>
      <c r="S96" s="20">
        <f>IF(S$2='[3]3 цех result'!$C26,'[3]3 цех_CapEx'!K26,0)</f>
        <v>0</v>
      </c>
      <c r="T96" s="20">
        <f>IF(S$2&gt;='[3]3 цех result'!$D26,'[3]3 цех_CapEx'!K26,0)</f>
        <v>85053.65066544521</v>
      </c>
      <c r="U96" s="20" t="str">
        <f>IF(S$2&gt;='[3]3 цех result'!$C26,$AK96,"")</f>
        <v xml:space="preserve">Реконструкция ОРУ-35 кВ по схеме 35-9 с установкой ВВ-35кВ 1000А - 5 шт. 
Установка на ПС 35/6 Орлянская Т-1,2-Т 35/6 4000 кВА - 2 шт.
Монтаж АВР 6кВ. Организация захода ВЛ-35 Козловская на ПС Орлянская с целью ликвидации отпайки 0,1 км., АС-95 </v>
      </c>
      <c r="V96" s="20">
        <f>IF(V$2='[3]3 цех result'!$C26,'[3]3 цех_CapEx'!L26,0)</f>
        <v>0</v>
      </c>
      <c r="W96" s="20">
        <f>IF(V$2&gt;='[3]3 цех result'!$D26,'[3]3 цех_CapEx'!L26,0)</f>
        <v>0</v>
      </c>
      <c r="X96" s="20" t="str">
        <f>IF(V$2&gt;='[3]3 цех result'!$C26,$AK96,"")</f>
        <v xml:space="preserve">Реконструкция ОРУ-35 кВ по схеме 35-9 с установкой ВВ-35кВ 1000А - 5 шт. 
Установка на ПС 35/6 Орлянская Т-1,2-Т 35/6 4000 кВА - 2 шт.
Монтаж АВР 6кВ. Организация захода ВЛ-35 Козловская на ПС Орлянская с целью ликвидации отпайки 0,1 км., АС-95 </v>
      </c>
      <c r="Y96" s="20">
        <f>IF(Y$2='[3]3 цех result'!$C26,'[3]3 цех_CapEx'!M26,0)</f>
        <v>0</v>
      </c>
      <c r="Z96" s="20">
        <f>IF(Y$2&gt;='[3]3 цех result'!$D26,'[3]3 цех_CapEx'!M26,0)</f>
        <v>0</v>
      </c>
      <c r="AA96" s="20" t="str">
        <f>IF(Y$2&gt;='[3]3 цех result'!$C26,$AK96,"")</f>
        <v xml:space="preserve">Реконструкция ОРУ-35 кВ по схеме 35-9 с установкой ВВ-35кВ 1000А - 5 шт. 
Установка на ПС 35/6 Орлянская Т-1,2-Т 35/6 4000 кВА - 2 шт.
Монтаж АВР 6кВ. Организация захода ВЛ-35 Козловская на ПС Орлянская с целью ликвидации отпайки 0,1 км., АС-95 </v>
      </c>
      <c r="AB96" s="20">
        <f>IF(AB$2='[3]3 цех result'!$C26,'[3]3 цех_CapEx'!N26,0)</f>
        <v>0</v>
      </c>
      <c r="AC96" s="20">
        <f>IF(AB$2&gt;='[3]3 цех result'!$D26,'[3]3 цех_CapEx'!N26,0)</f>
        <v>0</v>
      </c>
      <c r="AD96" s="20" t="str">
        <f>IF(AB$2&gt;='[3]3 цех result'!$C26,$AK96,"")</f>
        <v xml:space="preserve">Реконструкция ОРУ-35 кВ по схеме 35-9 с установкой ВВ-35кВ 1000А - 5 шт. 
Установка на ПС 35/6 Орлянская Т-1,2-Т 35/6 4000 кВА - 2 шт.
Монтаж АВР 6кВ. Организация захода ВЛ-35 Козловская на ПС Орлянская с целью ликвидации отпайки 0,1 км., АС-95 </v>
      </c>
      <c r="AE96" s="20">
        <f>IF(AE$2='[3]3 цех result'!$C26,'[3]3 цех_CapEx'!O26,0)</f>
        <v>0</v>
      </c>
      <c r="AF96" s="20">
        <f>IF(AE$2&gt;='[3]3 цех result'!$D26,'[3]3 цех_CapEx'!O26,0)</f>
        <v>0</v>
      </c>
      <c r="AG96" s="20" t="str">
        <f>IF(AE$2&gt;='[3]3 цех result'!$C26,$AK96,"")</f>
        <v xml:space="preserve">Реконструкция ОРУ-35 кВ по схеме 35-9 с установкой ВВ-35кВ 1000А - 5 шт. 
Установка на ПС 35/6 Орлянская Т-1,2-Т 35/6 4000 кВА - 2 шт.
Монтаж АВР 6кВ. Организация захода ВЛ-35 Козловская на ПС Орлянская с целью ликвидации отпайки 0,1 км., АС-95 </v>
      </c>
      <c r="AH96" s="20">
        <f>IF(AH$2='[3]3 цех result'!$C26,'[3]3 цех_CapEx'!P26,0)</f>
        <v>0</v>
      </c>
      <c r="AI96" s="20">
        <f>IF(AH$2&gt;='[3]3 цех result'!$D26,'[3]3 цех_CapEx'!P26,0)</f>
        <v>0</v>
      </c>
      <c r="AJ96" s="20" t="str">
        <f>IF(AH$2&gt;='[3]3 цех result'!$C26,$AK96,"")</f>
        <v xml:space="preserve">Реконструкция ОРУ-35 кВ по схеме 35-9 с установкой ВВ-35кВ 1000А - 5 шт. 
Установка на ПС 35/6 Орлянская Т-1,2-Т 35/6 4000 кВА - 2 шт.
Монтаж АВР 6кВ. Организация захода ВЛ-35 Козловская на ПС Орлянская с целью ликвидации отпайки 0,1 км., АС-95 </v>
      </c>
      <c r="AK96" s="12" t="s">
        <v>101</v>
      </c>
      <c r="AL96" s="19"/>
      <c r="AM96" s="71">
        <f>SUM(D96:AJ96)</f>
        <v>85053.65066544521</v>
      </c>
      <c r="AN96" s="71">
        <f>'[3]3 цех_CapEx'!$V26</f>
        <v>85053.65066544521</v>
      </c>
      <c r="AO96" s="71">
        <f>AM96-AN96</f>
        <v>0</v>
      </c>
      <c r="AP96" s="65" t="s">
        <v>226</v>
      </c>
      <c r="AQ96" s="81" t="s">
        <v>219</v>
      </c>
    </row>
    <row r="97" spans="1:43" ht="45">
      <c r="A97" s="78">
        <v>79</v>
      </c>
      <c r="B97" s="19" t="str">
        <f>'[3]3 цех_CapEx'!$B27</f>
        <v>ПС 35/6 кВ 2х4000 кВА "Якушкинская"</v>
      </c>
      <c r="C97" s="32">
        <f>'[3]3 цех_CapEx'!$W27</f>
        <v>1</v>
      </c>
      <c r="D97" s="20">
        <f>IF(D$2='[3]3 цех result'!$C27,'[3]3 цех_CapEx'!F27,0)</f>
        <v>0</v>
      </c>
      <c r="E97" s="20">
        <f>IF(D$2&gt;='[3]3 цех result'!$D27,'[3]3 цех_CapEx'!F27,0)</f>
        <v>0</v>
      </c>
      <c r="F97" s="20">
        <f>IF(D$2&gt;='[3]3 цех result'!$C27,$AK97,"")</f>
        <v>0</v>
      </c>
      <c r="G97" s="20">
        <f>IF(G$2='[3]3 цех result'!$C27,'[3]3 цех_CapEx'!G27,0)</f>
        <v>0</v>
      </c>
      <c r="H97" s="20">
        <f>IF(G$2&gt;='[3]3 цех result'!$D27,'[3]3 цех_CapEx'!G27,0)</f>
        <v>0</v>
      </c>
      <c r="I97" s="20">
        <f>IF(G$2&gt;='[3]3 цех result'!$C27,$AK97,"")</f>
        <v>0</v>
      </c>
      <c r="J97" s="20">
        <f>IF(J$2='[3]3 цех result'!$C27,'[3]3 цех_CapEx'!H27,0)</f>
        <v>0</v>
      </c>
      <c r="K97" s="20">
        <f>IF(J$2&gt;='[3]3 цех result'!$D27,'[3]3 цех_CapEx'!H27,0)</f>
        <v>0</v>
      </c>
      <c r="L97" s="20">
        <f>IF(J$2&gt;='[3]3 цех result'!$C27,$AK97,"")</f>
        <v>0</v>
      </c>
      <c r="M97" s="20">
        <f>IF(M$2='[3]3 цех result'!$C27,'[3]3 цех_CapEx'!I27,0)</f>
        <v>0</v>
      </c>
      <c r="N97" s="20">
        <f>IF(M$2&gt;='[3]3 цех result'!$D27,'[3]3 цех_CapEx'!I27,0)</f>
        <v>0</v>
      </c>
      <c r="O97" s="20">
        <f>IF(M$2&gt;='[3]3 цех result'!$C27,$AK97,"")</f>
        <v>0</v>
      </c>
      <c r="P97" s="20">
        <f>IF(P$2='[3]3 цех result'!$C27,'[3]3 цех_CapEx'!J27,0)</f>
        <v>0</v>
      </c>
      <c r="Q97" s="20">
        <f>IF(P$2&gt;='[3]3 цех result'!$D27,'[3]3 цех_CapEx'!J27,0)</f>
        <v>0</v>
      </c>
      <c r="R97" s="20">
        <f>IF(P$2&gt;='[3]3 цех result'!$C27,$AK97,"")</f>
        <v>0</v>
      </c>
      <c r="S97" s="20">
        <f>IF(S$2='[3]3 цех result'!$C27,'[3]3 цех_CapEx'!K27,0)</f>
        <v>0</v>
      </c>
      <c r="T97" s="20">
        <f>IF(S$2&gt;='[3]3 цех result'!$D27,'[3]3 цех_CapEx'!K27,0)</f>
        <v>0</v>
      </c>
      <c r="U97" s="20">
        <f>IF(S$2&gt;='[3]3 цех result'!$C27,$AK97,"")</f>
        <v>0</v>
      </c>
      <c r="V97" s="20">
        <f>IF(V$2='[3]3 цех result'!$C27,'[3]3 цех_CapEx'!L27,0)</f>
        <v>0</v>
      </c>
      <c r="W97" s="20">
        <f>IF(V$2&gt;='[3]3 цех result'!$D27,'[3]3 цех_CapEx'!L27,0)</f>
        <v>53862.974085024434</v>
      </c>
      <c r="X97" s="20">
        <f>IF(V$2&gt;='[3]3 цех result'!$C27,$AK97,"")</f>
        <v>0</v>
      </c>
      <c r="Y97" s="20">
        <f>IF(Y$2='[3]3 цех result'!$C27,'[3]3 цех_CapEx'!M27,0)</f>
        <v>0</v>
      </c>
      <c r="Z97" s="20">
        <f>IF(Y$2&gt;='[3]3 цех result'!$D27,'[3]3 цех_CapEx'!M27,0)</f>
        <v>0</v>
      </c>
      <c r="AA97" s="20">
        <f>IF(Y$2&gt;='[3]3 цех result'!$C27,$AK97,"")</f>
        <v>0</v>
      </c>
      <c r="AB97" s="20">
        <f>IF(AB$2='[3]3 цех result'!$C27,'[3]3 цех_CapEx'!N27,0)</f>
        <v>0</v>
      </c>
      <c r="AC97" s="20">
        <f>IF(AB$2&gt;='[3]3 цех result'!$D27,'[3]3 цех_CapEx'!N27,0)</f>
        <v>0</v>
      </c>
      <c r="AD97" s="20">
        <f>IF(AB$2&gt;='[3]3 цех result'!$C27,$AK97,"")</f>
        <v>0</v>
      </c>
      <c r="AE97" s="20">
        <f>IF(AE$2='[3]3 цех result'!$C27,'[3]3 цех_CapEx'!O27,0)</f>
        <v>0</v>
      </c>
      <c r="AF97" s="20">
        <f>IF(AE$2&gt;='[3]3 цех result'!$D27,'[3]3 цех_CapEx'!O27,0)</f>
        <v>0</v>
      </c>
      <c r="AG97" s="20">
        <f>IF(AE$2&gt;='[3]3 цех result'!$C27,$AK97,"")</f>
        <v>0</v>
      </c>
      <c r="AH97" s="20">
        <f>IF(AH$2='[3]3 цех result'!$C27,'[3]3 цех_CapEx'!P27,0)</f>
        <v>0</v>
      </c>
      <c r="AI97" s="20">
        <f>IF(AH$2&gt;='[3]3 цех result'!$D27,'[3]3 цех_CapEx'!P27,0)</f>
        <v>0</v>
      </c>
      <c r="AJ97" s="20">
        <f>IF(AH$2&gt;='[3]3 цех result'!$C27,$AK97,"")</f>
        <v>0</v>
      </c>
      <c r="AK97" s="12"/>
      <c r="AL97" s="19"/>
      <c r="AM97" s="71">
        <f>SUM(D97:AJ97)</f>
        <v>53862.974085024434</v>
      </c>
      <c r="AN97" s="71">
        <f>'[3]3 цех_CapEx'!$V27</f>
        <v>53862.974085024434</v>
      </c>
      <c r="AO97" s="71">
        <f>AM97-AN97</f>
        <v>0</v>
      </c>
      <c r="AP97" s="59" t="s">
        <v>218</v>
      </c>
      <c r="AQ97" s="81" t="s">
        <v>219</v>
      </c>
    </row>
    <row r="98" spans="1:43" ht="45">
      <c r="A98" s="78">
        <v>80</v>
      </c>
      <c r="B98" s="19" t="str">
        <f>'[3]3 цех_CapEx'!$B28</f>
        <v>ПС 35/6 кВ 2х2500 кВА "Обошинская"</v>
      </c>
      <c r="C98" s="32">
        <f>'[3]3 цех_CapEx'!$W28</f>
        <v>1</v>
      </c>
      <c r="D98" s="20">
        <f>IF(D$2='[3]3 цех result'!$C28,'[3]3 цех_CapEx'!F28,0)</f>
        <v>0</v>
      </c>
      <c r="E98" s="20">
        <f>IF(D$2&gt;='[3]3 цех result'!$D28,'[3]3 цех_CapEx'!F28,0)</f>
        <v>0</v>
      </c>
      <c r="F98" s="20" t="str">
        <f>IF(D$2&gt;='[3]3 цех result'!$C28,$AK98,"")</f>
        <v/>
      </c>
      <c r="G98" s="20">
        <f>IF(G$2='[3]3 цех result'!$C28,'[3]3 цех_CapEx'!G28,0)</f>
        <v>0</v>
      </c>
      <c r="H98" s="20">
        <f>IF(G$2&gt;='[3]3 цех result'!$D28,'[3]3 цех_CapEx'!G28,0)</f>
        <v>0</v>
      </c>
      <c r="I98" s="20" t="str">
        <f>IF(G$2&gt;='[3]3 цех result'!$C28,$AK98,"")</f>
        <v/>
      </c>
      <c r="J98" s="20">
        <f>IF(J$2='[3]3 цех result'!$C28,'[3]3 цех_CapEx'!H28,0)</f>
        <v>0</v>
      </c>
      <c r="K98" s="20">
        <f>IF(J$2&gt;='[3]3 цех result'!$D28,'[3]3 цех_CapEx'!H28,0)</f>
        <v>0</v>
      </c>
      <c r="L98" s="20" t="str">
        <f>IF(J$2&gt;='[3]3 цех result'!$C28,$AK98,"")</f>
        <v/>
      </c>
      <c r="M98" s="20">
        <f>IF(M$2='[3]3 цех result'!$C28,'[3]3 цех_CapEx'!I28,0)</f>
        <v>541.32069776952949</v>
      </c>
      <c r="N98" s="20">
        <f>IF(M$2&gt;='[3]3 цех result'!$D28,'[3]3 цех_CapEx'!I28,0)</f>
        <v>0</v>
      </c>
      <c r="O98" s="20" t="str">
        <f>IF(M$2&gt;='[3]3 цех result'!$C28,$AK98,"")</f>
        <v>Замена выключателей ВВ-35 кВ 1000А - 2 шт.</v>
      </c>
      <c r="P98" s="20">
        <f>IF(P$2='[3]3 цех result'!$C28,'[3]3 цех_CapEx'!J28,0)</f>
        <v>0</v>
      </c>
      <c r="Q98" s="20">
        <f>IF(P$2&gt;='[3]3 цех result'!$D28,'[3]3 цех_CapEx'!J28,0)</f>
        <v>0</v>
      </c>
      <c r="R98" s="20" t="str">
        <f>IF(P$2&gt;='[3]3 цех result'!$C28,$AK98,"")</f>
        <v>Замена выключателей ВВ-35 кВ 1000А - 2 шт.</v>
      </c>
      <c r="S98" s="20">
        <f>IF(S$2='[3]3 цех result'!$C28,'[3]3 цех_CapEx'!K28,0)</f>
        <v>0</v>
      </c>
      <c r="T98" s="20">
        <f>IF(S$2&gt;='[3]3 цех result'!$D28,'[3]3 цех_CapEx'!K28,0)</f>
        <v>19610.202976610664</v>
      </c>
      <c r="U98" s="20" t="str">
        <f>IF(S$2&gt;='[3]3 цех result'!$C28,$AK98,"")</f>
        <v>Замена выключателей ВВ-35 кВ 1000А - 2 шт.</v>
      </c>
      <c r="V98" s="20">
        <f>IF(V$2='[3]3 цех result'!$C28,'[3]3 цех_CapEx'!L28,0)</f>
        <v>0</v>
      </c>
      <c r="W98" s="20">
        <f>IF(V$2&gt;='[3]3 цех result'!$D28,'[3]3 цех_CapEx'!L28,0)</f>
        <v>0</v>
      </c>
      <c r="X98" s="20" t="str">
        <f>IF(V$2&gt;='[3]3 цех result'!$C28,$AK98,"")</f>
        <v>Замена выключателей ВВ-35 кВ 1000А - 2 шт.</v>
      </c>
      <c r="Y98" s="20">
        <f>IF(Y$2='[3]3 цех result'!$C28,'[3]3 цех_CapEx'!M28,0)</f>
        <v>0</v>
      </c>
      <c r="Z98" s="20">
        <f>IF(Y$2&gt;='[3]3 цех result'!$D28,'[3]3 цех_CapEx'!M28,0)</f>
        <v>0</v>
      </c>
      <c r="AA98" s="20" t="str">
        <f>IF(Y$2&gt;='[3]3 цех result'!$C28,$AK98,"")</f>
        <v>Замена выключателей ВВ-35 кВ 1000А - 2 шт.</v>
      </c>
      <c r="AB98" s="20">
        <f>IF(AB$2='[3]3 цех result'!$C28,'[3]3 цех_CapEx'!N28,0)</f>
        <v>0</v>
      </c>
      <c r="AC98" s="20">
        <f>IF(AB$2&gt;='[3]3 цех result'!$D28,'[3]3 цех_CapEx'!N28,0)</f>
        <v>0</v>
      </c>
      <c r="AD98" s="20" t="str">
        <f>IF(AB$2&gt;='[3]3 цех result'!$C28,$AK98,"")</f>
        <v>Замена выключателей ВВ-35 кВ 1000А - 2 шт.</v>
      </c>
      <c r="AE98" s="20">
        <f>IF(AE$2='[3]3 цех result'!$C28,'[3]3 цех_CapEx'!O28,0)</f>
        <v>0</v>
      </c>
      <c r="AF98" s="20">
        <f>IF(AE$2&gt;='[3]3 цех result'!$D28,'[3]3 цех_CapEx'!O28,0)</f>
        <v>0</v>
      </c>
      <c r="AG98" s="20" t="str">
        <f>IF(AE$2&gt;='[3]3 цех result'!$C28,$AK98,"")</f>
        <v>Замена выключателей ВВ-35 кВ 1000А - 2 шт.</v>
      </c>
      <c r="AH98" s="20">
        <f>IF(AH$2='[3]3 цех result'!$C28,'[3]3 цех_CapEx'!P28,0)</f>
        <v>0</v>
      </c>
      <c r="AI98" s="20">
        <f>IF(AH$2&gt;='[3]3 цех result'!$D28,'[3]3 цех_CapEx'!P28,0)</f>
        <v>0</v>
      </c>
      <c r="AJ98" s="20" t="str">
        <f>IF(AH$2&gt;='[3]3 цех result'!$C28,$AK98,"")</f>
        <v>Замена выключателей ВВ-35 кВ 1000А - 2 шт.</v>
      </c>
      <c r="AK98" s="12" t="s">
        <v>102</v>
      </c>
      <c r="AL98" s="19"/>
      <c r="AM98" s="71">
        <f>SUM(D98:AJ98)</f>
        <v>20151.523674380194</v>
      </c>
      <c r="AN98" s="71">
        <f>'[3]3 цех_CapEx'!$V28</f>
        <v>20151.523674380194</v>
      </c>
      <c r="AO98" s="71">
        <f>AM98-AN98</f>
        <v>0</v>
      </c>
      <c r="AP98" s="59" t="s">
        <v>227</v>
      </c>
      <c r="AQ98" s="81" t="s">
        <v>219</v>
      </c>
    </row>
    <row r="99" spans="1:43" ht="45">
      <c r="A99" s="78">
        <v>81</v>
      </c>
      <c r="B99" s="19" t="str">
        <f>'[3]3 цех_CapEx'!$B29</f>
        <v>ПС 35/6 кВ 2х4000 кВА "ФНС"</v>
      </c>
      <c r="C99" s="32">
        <f>'[3]3 цех_CapEx'!$W29</f>
        <v>1</v>
      </c>
      <c r="D99" s="20">
        <f>IF(D$2='[3]3 цех result'!$C29,'[3]3 цех_CapEx'!F29,0)</f>
        <v>0</v>
      </c>
      <c r="E99" s="20">
        <f>IF(D$2&gt;='[3]3 цех result'!$D29,'[3]3 цех_CapEx'!F29,0)</f>
        <v>0</v>
      </c>
      <c r="F99" s="20" t="str">
        <f>IF(D$2&gt;='[3]3 цех result'!$C29,$AK99,"")</f>
        <v/>
      </c>
      <c r="G99" s="20">
        <f>IF(G$2='[3]3 цех result'!$C29,'[3]3 цех_CapEx'!G29,0)</f>
        <v>0</v>
      </c>
      <c r="H99" s="20">
        <f>IF(G$2&gt;='[3]3 цех result'!$D29,'[3]3 цех_CapEx'!G29,0)</f>
        <v>0</v>
      </c>
      <c r="I99" s="20" t="str">
        <f>IF(G$2&gt;='[3]3 цех result'!$C29,$AK99,"")</f>
        <v/>
      </c>
      <c r="J99" s="20">
        <f>IF(J$2='[3]3 цех result'!$C29,'[3]3 цех_CapEx'!H29,0)</f>
        <v>0</v>
      </c>
      <c r="K99" s="20">
        <f>IF(J$2&gt;='[3]3 цех result'!$D29,'[3]3 цех_CapEx'!H29,0)</f>
        <v>0</v>
      </c>
      <c r="L99" s="20" t="str">
        <f>IF(J$2&gt;='[3]3 цех result'!$C29,$AK99,"")</f>
        <v/>
      </c>
      <c r="M99" s="20">
        <f>IF(M$2='[3]3 цех result'!$C29,'[3]3 цех_CapEx'!I29,0)</f>
        <v>0</v>
      </c>
      <c r="N99" s="20">
        <f>IF(M$2&gt;='[3]3 цех result'!$D29,'[3]3 цех_CapEx'!I29,0)</f>
        <v>0</v>
      </c>
      <c r="O99" s="20" t="str">
        <f>IF(M$2&gt;='[3]3 цех result'!$C29,$AK99,"")</f>
        <v/>
      </c>
      <c r="P99" s="20">
        <f>IF(P$2='[3]3 цех result'!$C29,'[3]3 цех_CapEx'!J29,0)</f>
        <v>295.2218741725319</v>
      </c>
      <c r="Q99" s="20">
        <f>IF(P$2&gt;='[3]3 цех result'!$D29,'[3]3 цех_CapEx'!J29,0)</f>
        <v>0</v>
      </c>
      <c r="R99" s="20" t="str">
        <f>IF(P$2&gt;='[3]3 цех result'!$C29,$AK99,"")</f>
        <v xml:space="preserve"> Оснащение БСК: 1СШ6кВ - 0,9 Мвар,
 2СШ6кВ - 0,6 Мвар. </v>
      </c>
      <c r="S99" s="20">
        <f>IF(S$2='[3]3 цех result'!$C29,'[3]3 цех_CapEx'!K29,0)</f>
        <v>0</v>
      </c>
      <c r="T99" s="20">
        <f>IF(S$2&gt;='[3]3 цех result'!$D29,'[3]3 цех_CapEx'!K29,0)</f>
        <v>0</v>
      </c>
      <c r="U99" s="20" t="str">
        <f>IF(S$2&gt;='[3]3 цех result'!$C29,$AK99,"")</f>
        <v xml:space="preserve"> Оснащение БСК: 1СШ6кВ - 0,9 Мвар,
 2СШ6кВ - 0,6 Мвар. </v>
      </c>
      <c r="V99" s="20">
        <f>IF(V$2='[3]3 цех result'!$C29,'[3]3 цех_CapEx'!L29,0)</f>
        <v>0</v>
      </c>
      <c r="W99" s="20">
        <f>IF(V$2&gt;='[3]3 цех result'!$D29,'[3]3 цех_CapEx'!L29,0)</f>
        <v>10574.035672706117</v>
      </c>
      <c r="X99" s="20" t="str">
        <f>IF(V$2&gt;='[3]3 цех result'!$C29,$AK99,"")</f>
        <v xml:space="preserve"> Оснащение БСК: 1СШ6кВ - 0,9 Мвар,
 2СШ6кВ - 0,6 Мвар. </v>
      </c>
      <c r="Y99" s="20">
        <f>IF(Y$2='[3]3 цех result'!$C29,'[3]3 цех_CapEx'!M29,0)</f>
        <v>0</v>
      </c>
      <c r="Z99" s="20">
        <f>IF(Y$2&gt;='[3]3 цех result'!$D29,'[3]3 цех_CapEx'!M29,0)</f>
        <v>0</v>
      </c>
      <c r="AA99" s="20" t="str">
        <f>IF(Y$2&gt;='[3]3 цех result'!$C29,$AK99,"")</f>
        <v xml:space="preserve"> Оснащение БСК: 1СШ6кВ - 0,9 Мвар,
 2СШ6кВ - 0,6 Мвар. </v>
      </c>
      <c r="AB99" s="20">
        <f>IF(AB$2='[3]3 цех result'!$C29,'[3]3 цех_CapEx'!N29,0)</f>
        <v>0</v>
      </c>
      <c r="AC99" s="20">
        <f>IF(AB$2&gt;='[3]3 цех result'!$D29,'[3]3 цех_CapEx'!N29,0)</f>
        <v>0</v>
      </c>
      <c r="AD99" s="20" t="str">
        <f>IF(AB$2&gt;='[3]3 цех result'!$C29,$AK99,"")</f>
        <v xml:space="preserve"> Оснащение БСК: 1СШ6кВ - 0,9 Мвар,
 2СШ6кВ - 0,6 Мвар. </v>
      </c>
      <c r="AE99" s="20">
        <f>IF(AE$2='[3]3 цех result'!$C29,'[3]3 цех_CapEx'!O29,0)</f>
        <v>0</v>
      </c>
      <c r="AF99" s="20">
        <f>IF(AE$2&gt;='[3]3 цех result'!$D29,'[3]3 цех_CapEx'!O29,0)</f>
        <v>0</v>
      </c>
      <c r="AG99" s="20" t="str">
        <f>IF(AE$2&gt;='[3]3 цех result'!$C29,$AK99,"")</f>
        <v xml:space="preserve"> Оснащение БСК: 1СШ6кВ - 0,9 Мвар,
 2СШ6кВ - 0,6 Мвар. </v>
      </c>
      <c r="AH99" s="20">
        <f>IF(AH$2='[3]3 цех result'!$C29,'[3]3 цех_CapEx'!P29,0)</f>
        <v>0</v>
      </c>
      <c r="AI99" s="20">
        <f>IF(AH$2&gt;='[3]3 цех result'!$D29,'[3]3 цех_CapEx'!P29,0)</f>
        <v>0</v>
      </c>
      <c r="AJ99" s="20" t="str">
        <f>IF(AH$2&gt;='[3]3 цех result'!$C29,$AK99,"")</f>
        <v xml:space="preserve"> Оснащение БСК: 1СШ6кВ - 0,9 Мвар,
 2СШ6кВ - 0,6 Мвар. </v>
      </c>
      <c r="AK99" s="12" t="s">
        <v>110</v>
      </c>
      <c r="AL99" s="19"/>
      <c r="AM99" s="71">
        <f>SUM(D99:AJ99)</f>
        <v>10869.257546878649</v>
      </c>
      <c r="AN99" s="71">
        <f>'[3]3 цех_CapEx'!$V29</f>
        <v>10869.257546878649</v>
      </c>
      <c r="AO99" s="71">
        <f>AM99-AN99</f>
        <v>0</v>
      </c>
      <c r="AP99" s="59" t="s">
        <v>234</v>
      </c>
      <c r="AQ99" s="81" t="s">
        <v>219</v>
      </c>
    </row>
    <row r="100" spans="1:43" s="38" customFormat="1" hidden="1">
      <c r="A100" s="78">
        <f>A98+1</f>
        <v>81</v>
      </c>
      <c r="B100" s="27" t="s">
        <v>32</v>
      </c>
      <c r="C100" s="41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30"/>
      <c r="AL100" s="27"/>
      <c r="AM100" s="27"/>
      <c r="AN100" s="27"/>
      <c r="AO100" s="27"/>
      <c r="AP100" s="61"/>
      <c r="AQ100" s="77"/>
    </row>
    <row r="101" spans="1:43" ht="195">
      <c r="A101" s="78">
        <v>82</v>
      </c>
      <c r="B101" s="19" t="str">
        <f>'[3]3 цех_CapEx'!$B31</f>
        <v>ПС 35/6 кВ  "Южно-Орловская"</v>
      </c>
      <c r="C101" s="32">
        <f>'[3]3 цех_CapEx'!$W31</f>
        <v>1</v>
      </c>
      <c r="D101" s="20">
        <f>IF(D$2='[3]3 цех result'!$C31,'[3]3 цех_CapEx'!F31,0)</f>
        <v>0</v>
      </c>
      <c r="E101" s="20">
        <f>IF(D$2&gt;='[3]3 цех result'!$D31,'[3]3 цех_CapEx'!F31,0)</f>
        <v>0</v>
      </c>
      <c r="F101" s="20" t="str">
        <f>IF(D$2&gt;='[3]3 цех result'!$C31,$AK101,"")</f>
        <v/>
      </c>
      <c r="G101" s="20">
        <f>IF(G$2='[3]3 цех result'!$C31,'[3]3 цех_CapEx'!G31,0)</f>
        <v>0</v>
      </c>
      <c r="H101" s="20">
        <f>IF(G$2&gt;='[3]3 цех result'!$D31,'[3]3 цех_CapEx'!G31,0)</f>
        <v>0</v>
      </c>
      <c r="I101" s="20" t="str">
        <f>IF(G$2&gt;='[3]3 цех result'!$C31,$AK101,"")</f>
        <v/>
      </c>
      <c r="J101" s="20">
        <f>IF(J$2='[3]3 цех result'!$C31,'[3]3 цех_CapEx'!H31,0)</f>
        <v>23409.356894049</v>
      </c>
      <c r="K101" s="20">
        <f>IF(J$2&gt;='[3]3 цех result'!$D31,'[3]3 цех_CapEx'!H31,0)</f>
        <v>0</v>
      </c>
      <c r="L101" s="20" t="str">
        <f>IF(J$2&gt;='[3]3 цех result'!$C31,$AK101,"")</f>
        <v>Строительство:
КТПБ-35/6 кВ - 1 шт.; Т-1,2-Т 2*4000 кВА; 
ОРУ-35 кВ по схеме 35-5Н с установкой ВВ-35 кВ 1000А - 3 шт.
ОРУ-35 кВ ПС 35/6 кВ Екатериновская - установка ячейки ВВ-35 кВ 1000А - 1 шт.
ВЛ-35 кВ  46,5 км, ВЛ-35 кВ 18 км.</v>
      </c>
      <c r="M101" s="20">
        <f>IF(M$2='[3]3 цех result'!$C31,'[3]3 цех_CapEx'!I31,0)</f>
        <v>0</v>
      </c>
      <c r="N101" s="20">
        <f>IF(M$2&gt;='[3]3 цех result'!$D31,'[3]3 цех_CapEx'!I31,0)</f>
        <v>0</v>
      </c>
      <c r="O101" s="20" t="str">
        <f>IF(M$2&gt;='[3]3 цех result'!$C31,$AK101,"")</f>
        <v>Строительство:
КТПБ-35/6 кВ - 1 шт.; Т-1,2-Т 2*4000 кВА; 
ОРУ-35 кВ по схеме 35-5Н с установкой ВВ-35 кВ 1000А - 3 шт.
ОРУ-35 кВ ПС 35/6 кВ Екатериновская - установка ячейки ВВ-35 кВ 1000А - 1 шт.
ВЛ-35 кВ  46,5 км, ВЛ-35 кВ 18 км.</v>
      </c>
      <c r="P101" s="20">
        <f>IF(P$2='[3]3 цех result'!$C31,'[3]3 цех_CapEx'!J31,0)</f>
        <v>0</v>
      </c>
      <c r="Q101" s="20">
        <f>IF(P$2&gt;='[3]3 цех result'!$D31,'[3]3 цех_CapEx'!J31,0)</f>
        <v>0</v>
      </c>
      <c r="R101" s="20" t="str">
        <f>IF(P$2&gt;='[3]3 цех result'!$C31,$AK101,"")</f>
        <v>Строительство:
КТПБ-35/6 кВ - 1 шт.; Т-1,2-Т 2*4000 кВА; 
ОРУ-35 кВ по схеме 35-5Н с установкой ВВ-35 кВ 1000А - 3 шт.
ОРУ-35 кВ ПС 35/6 кВ Екатериновская - установка ячейки ВВ-35 кВ 1000А - 1 шт.
ВЛ-35 кВ  46,5 км, ВЛ-35 кВ 18 км.</v>
      </c>
      <c r="S101" s="20">
        <f>IF(S$2='[3]3 цех result'!$C31,'[3]3 цех_CapEx'!K31,0)</f>
        <v>0</v>
      </c>
      <c r="T101" s="20">
        <f>IF(S$2&gt;='[3]3 цех result'!$D31,'[3]3 цех_CapEx'!K31,0)</f>
        <v>508558.10656399955</v>
      </c>
      <c r="U101" s="20" t="str">
        <f>IF(S$2&gt;='[3]3 цех result'!$C31,$AK101,"")</f>
        <v>Строительство:
КТПБ-35/6 кВ - 1 шт.; Т-1,2-Т 2*4000 кВА; 
ОРУ-35 кВ по схеме 35-5Н с установкой ВВ-35 кВ 1000А - 3 шт.
ОРУ-35 кВ ПС 35/6 кВ Екатериновская - установка ячейки ВВ-35 кВ 1000А - 1 шт.
ВЛ-35 кВ  46,5 км, ВЛ-35 кВ 18 км.</v>
      </c>
      <c r="V101" s="20">
        <f>IF(V$2='[3]3 цех result'!$C31,'[3]3 цех_CapEx'!L31,0)</f>
        <v>0</v>
      </c>
      <c r="W101" s="20">
        <f>IF(V$2&gt;='[3]3 цех result'!$D31,'[3]3 цех_CapEx'!L31,0)</f>
        <v>0</v>
      </c>
      <c r="X101" s="20" t="str">
        <f>IF(V$2&gt;='[3]3 цех result'!$C31,$AK101,"")</f>
        <v>Строительство:
КТПБ-35/6 кВ - 1 шт.; Т-1,2-Т 2*4000 кВА; 
ОРУ-35 кВ по схеме 35-5Н с установкой ВВ-35 кВ 1000А - 3 шт.
ОРУ-35 кВ ПС 35/6 кВ Екатериновская - установка ячейки ВВ-35 кВ 1000А - 1 шт.
ВЛ-35 кВ  46,5 км, ВЛ-35 кВ 18 км.</v>
      </c>
      <c r="Y101" s="20">
        <f>IF(Y$2='[3]3 цех result'!$C31,'[3]3 цех_CapEx'!M31,0)</f>
        <v>0</v>
      </c>
      <c r="Z101" s="20">
        <f>IF(Y$2&gt;='[3]3 цех result'!$D31,'[3]3 цех_CapEx'!M31,0)</f>
        <v>0</v>
      </c>
      <c r="AA101" s="20" t="str">
        <f>IF(Y$2&gt;='[3]3 цех result'!$C31,$AK101,"")</f>
        <v>Строительство:
КТПБ-35/6 кВ - 1 шт.; Т-1,2-Т 2*4000 кВА; 
ОРУ-35 кВ по схеме 35-5Н с установкой ВВ-35 кВ 1000А - 3 шт.
ОРУ-35 кВ ПС 35/6 кВ Екатериновская - установка ячейки ВВ-35 кВ 1000А - 1 шт.
ВЛ-35 кВ  46,5 км, ВЛ-35 кВ 18 км.</v>
      </c>
      <c r="AB101" s="20">
        <f>IF(AB$2='[3]3 цех result'!$C31,'[3]3 цех_CapEx'!N31,0)</f>
        <v>0</v>
      </c>
      <c r="AC101" s="20">
        <f>IF(AB$2&gt;='[3]3 цех result'!$D31,'[3]3 цех_CapEx'!N31,0)</f>
        <v>0</v>
      </c>
      <c r="AD101" s="20" t="str">
        <f>IF(AB$2&gt;='[3]3 цех result'!$C31,$AK101,"")</f>
        <v>Строительство:
КТПБ-35/6 кВ - 1 шт.; Т-1,2-Т 2*4000 кВА; 
ОРУ-35 кВ по схеме 35-5Н с установкой ВВ-35 кВ 1000А - 3 шт.
ОРУ-35 кВ ПС 35/6 кВ Екатериновская - установка ячейки ВВ-35 кВ 1000А - 1 шт.
ВЛ-35 кВ  46,5 км, ВЛ-35 кВ 18 км.</v>
      </c>
      <c r="AE101" s="20">
        <f>IF(AE$2='[3]3 цех result'!$C31,'[3]3 цех_CapEx'!O31,0)</f>
        <v>0</v>
      </c>
      <c r="AF101" s="20">
        <f>IF(AE$2&gt;='[3]3 цех result'!$D31,'[3]3 цех_CapEx'!O31,0)</f>
        <v>0</v>
      </c>
      <c r="AG101" s="20" t="str">
        <f>IF(AE$2&gt;='[3]3 цех result'!$C31,$AK101,"")</f>
        <v>Строительство:
КТПБ-35/6 кВ - 1 шт.; Т-1,2-Т 2*4000 кВА; 
ОРУ-35 кВ по схеме 35-5Н с установкой ВВ-35 кВ 1000А - 3 шт.
ОРУ-35 кВ ПС 35/6 кВ Екатериновская - установка ячейки ВВ-35 кВ 1000А - 1 шт.
ВЛ-35 кВ  46,5 км, ВЛ-35 кВ 18 км.</v>
      </c>
      <c r="AH101" s="20">
        <f>IF(AH$2='[3]3 цех result'!$C31,'[3]3 цех_CapEx'!P31,0)</f>
        <v>0</v>
      </c>
      <c r="AI101" s="20">
        <f>IF(AH$2&gt;='[3]3 цех result'!$D31,'[3]3 цех_CapEx'!P31,0)</f>
        <v>0</v>
      </c>
      <c r="AJ101" s="20" t="str">
        <f>IF(AH$2&gt;='[3]3 цех result'!$C31,$AK101,"")</f>
        <v>Строительство:
КТПБ-35/6 кВ - 1 шт.; Т-1,2-Т 2*4000 кВА; 
ОРУ-35 кВ по схеме 35-5Н с установкой ВВ-35 кВ 1000А - 3 шт.
ОРУ-35 кВ ПС 35/6 кВ Екатериновская - установка ячейки ВВ-35 кВ 1000А - 1 шт.
ВЛ-35 кВ  46,5 км, ВЛ-35 кВ 18 км.</v>
      </c>
      <c r="AK101" s="12" t="s">
        <v>111</v>
      </c>
      <c r="AL101" s="19"/>
      <c r="AM101" s="71">
        <f>SUM(D101:AJ101)</f>
        <v>531967.46345804853</v>
      </c>
      <c r="AN101" s="71">
        <f>'[3]3 цех_CapEx'!$V31</f>
        <v>531967.46345804853</v>
      </c>
      <c r="AO101" s="71">
        <f>AM101-AN101</f>
        <v>0</v>
      </c>
      <c r="AP101" s="56" t="s">
        <v>235</v>
      </c>
      <c r="AQ101" s="81" t="s">
        <v>219</v>
      </c>
    </row>
    <row r="102" spans="1:43" s="38" customFormat="1" hidden="1">
      <c r="A102" s="78">
        <f>A100+1</f>
        <v>82</v>
      </c>
      <c r="B102" s="27" t="s">
        <v>33</v>
      </c>
      <c r="C102" s="41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30"/>
      <c r="AL102" s="27"/>
      <c r="AM102" s="27"/>
      <c r="AN102" s="27"/>
      <c r="AO102" s="27"/>
      <c r="AP102" s="61"/>
      <c r="AQ102" s="77"/>
    </row>
    <row r="103" spans="1:43" ht="150">
      <c r="A103" s="78">
        <v>83</v>
      </c>
      <c r="B103" s="19" t="str">
        <f>'[3]3 цех_CapEx'!$B36</f>
        <v>ПС 35/6 кВ 2х2500 кВА "Киргизкая"</v>
      </c>
      <c r="C103" s="32">
        <f>'[3]3 цех_CapEx'!$W36</f>
        <v>1</v>
      </c>
      <c r="D103" s="20">
        <f>IF(D$2='[3]3 цех result'!$C36,'[3]3 цех_CapEx'!F36,0)</f>
        <v>0</v>
      </c>
      <c r="E103" s="20">
        <f>IF(D$2&gt;='[3]3 цех result'!$D36,'[3]3 цех_CapEx'!F36,0)</f>
        <v>0</v>
      </c>
      <c r="F103" s="20" t="str">
        <f>IF(D$2&gt;='[3]3 цех result'!$C36,$AK103,"")</f>
        <v/>
      </c>
      <c r="G103" s="20">
        <f>IF(G$2='[3]3 цех result'!$C36,'[3]3 цех_CapEx'!G36,0)</f>
        <v>0</v>
      </c>
      <c r="H103" s="20">
        <f>IF(G$2&gt;='[3]3 цех result'!$D36,'[3]3 цех_CapEx'!G36,0)</f>
        <v>0</v>
      </c>
      <c r="I103" s="20" t="str">
        <f>IF(G$2&gt;='[3]3 цех result'!$C36,$AK103,"")</f>
        <v/>
      </c>
      <c r="J103" s="20">
        <f>IF(J$2='[3]3 цех result'!$C36,'[3]3 цех_CapEx'!H36,0)</f>
        <v>0</v>
      </c>
      <c r="K103" s="20">
        <f>IF(J$2&gt;='[3]3 цех result'!$D36,'[3]3 цех_CapEx'!H36,0)</f>
        <v>0</v>
      </c>
      <c r="L103" s="20" t="str">
        <f>IF(J$2&gt;='[3]3 цех result'!$C36,$AK103,"")</f>
        <v/>
      </c>
      <c r="M103" s="20">
        <f>IF(M$2='[3]3 цех result'!$C36,'[3]3 цех_CapEx'!I36,0)</f>
        <v>0</v>
      </c>
      <c r="N103" s="20">
        <f>IF(M$2&gt;='[3]3 цех result'!$D36,'[3]3 цех_CapEx'!I36,0)</f>
        <v>0</v>
      </c>
      <c r="O103" s="20" t="str">
        <f>IF(M$2&gt;='[3]3 цех result'!$C36,$AK103,"")</f>
        <v/>
      </c>
      <c r="P103" s="20">
        <f>IF(P$2='[3]3 цех result'!$C36,'[3]3 цех_CapEx'!J36,0)</f>
        <v>7243.6780636644698</v>
      </c>
      <c r="Q103" s="20">
        <f>IF(P$2&gt;='[3]3 цех result'!$D36,'[3]3 цех_CapEx'!J36,0)</f>
        <v>0</v>
      </c>
      <c r="R103" s="20" t="str">
        <f>IF(P$2&gt;='[3]3 цех result'!$C36,$AK103,"")</f>
        <v xml:space="preserve">Строительство  заходов на ВЛ-35 кВ Черный Ключ-2 5 км (МРСК)  и ВЛ-35 кВ Денискино (МРСК).      Установка 2-х реклоузеров в местах подключения к ВЛ-Черный Ключ-2 и Денискино (МСРК)  </v>
      </c>
      <c r="S103" s="20">
        <f>IF(S$2='[3]3 цех result'!$C36,'[3]3 цех_CapEx'!K36,0)</f>
        <v>0</v>
      </c>
      <c r="T103" s="20">
        <f>IF(S$2&gt;='[3]3 цех result'!$D36,'[3]3 цех_CapEx'!K36,0)</f>
        <v>187492.49743337568</v>
      </c>
      <c r="U103" s="20" t="str">
        <f>IF(S$2&gt;='[3]3 цех result'!$C36,$AK103,"")</f>
        <v xml:space="preserve">Строительство  заходов на ВЛ-35 кВ Черный Ключ-2 5 км (МРСК)  и ВЛ-35 кВ Денискино (МРСК).      Установка 2-х реклоузеров в местах подключения к ВЛ-Черный Ключ-2 и Денискино (МСРК)  </v>
      </c>
      <c r="V103" s="20">
        <f>IF(V$2='[3]3 цех result'!$C36,'[3]3 цех_CapEx'!L36,0)</f>
        <v>0</v>
      </c>
      <c r="W103" s="20">
        <f>IF(V$2&gt;='[3]3 цех result'!$D36,'[3]3 цех_CapEx'!L36,0)</f>
        <v>0</v>
      </c>
      <c r="X103" s="20" t="str">
        <f>IF(V$2&gt;='[3]3 цех result'!$C36,$AK103,"")</f>
        <v xml:space="preserve">Строительство  заходов на ВЛ-35 кВ Черный Ключ-2 5 км (МРСК)  и ВЛ-35 кВ Денискино (МРСК).      Установка 2-х реклоузеров в местах подключения к ВЛ-Черный Ключ-2 и Денискино (МСРК)  </v>
      </c>
      <c r="Y103" s="20">
        <f>IF(Y$2='[3]3 цех result'!$C36,'[3]3 цех_CapEx'!M36,0)</f>
        <v>0</v>
      </c>
      <c r="Z103" s="20">
        <f>IF(Y$2&gt;='[3]3 цех result'!$D36,'[3]3 цех_CapEx'!M36,0)</f>
        <v>0</v>
      </c>
      <c r="AA103" s="20" t="str">
        <f>IF(Y$2&gt;='[3]3 цех result'!$C36,$AK103,"")</f>
        <v xml:space="preserve">Строительство  заходов на ВЛ-35 кВ Черный Ключ-2 5 км (МРСК)  и ВЛ-35 кВ Денискино (МРСК).      Установка 2-х реклоузеров в местах подключения к ВЛ-Черный Ключ-2 и Денискино (МСРК)  </v>
      </c>
      <c r="AB103" s="20">
        <f>IF(AB$2='[3]3 цех result'!$C36,'[3]3 цех_CapEx'!N36,0)</f>
        <v>0</v>
      </c>
      <c r="AC103" s="20">
        <f>IF(AB$2&gt;='[3]3 цех result'!$D36,'[3]3 цех_CapEx'!N36,0)</f>
        <v>0</v>
      </c>
      <c r="AD103" s="20" t="str">
        <f>IF(AB$2&gt;='[3]3 цех result'!$C36,$AK103,"")</f>
        <v xml:space="preserve">Строительство  заходов на ВЛ-35 кВ Черный Ключ-2 5 км (МРСК)  и ВЛ-35 кВ Денискино (МРСК).      Установка 2-х реклоузеров в местах подключения к ВЛ-Черный Ключ-2 и Денискино (МСРК)  </v>
      </c>
      <c r="AE103" s="20">
        <f>IF(AE$2='[3]3 цех result'!$C36,'[3]3 цех_CapEx'!O36,0)</f>
        <v>0</v>
      </c>
      <c r="AF103" s="20">
        <f>IF(AE$2&gt;='[3]3 цех result'!$D36,'[3]3 цех_CapEx'!O36,0)</f>
        <v>0</v>
      </c>
      <c r="AG103" s="20" t="str">
        <f>IF(AE$2&gt;='[3]3 цех result'!$C36,$AK103,"")</f>
        <v xml:space="preserve">Строительство  заходов на ВЛ-35 кВ Черный Ключ-2 5 км (МРСК)  и ВЛ-35 кВ Денискино (МРСК).      Установка 2-х реклоузеров в местах подключения к ВЛ-Черный Ключ-2 и Денискино (МСРК)  </v>
      </c>
      <c r="AH103" s="20">
        <f>IF(AH$2='[3]3 цех result'!$C36,'[3]3 цех_CapEx'!P36,0)</f>
        <v>0</v>
      </c>
      <c r="AI103" s="20">
        <f>IF(AH$2&gt;='[3]3 цех result'!$D36,'[3]3 цех_CapEx'!P36,0)</f>
        <v>0</v>
      </c>
      <c r="AJ103" s="20" t="str">
        <f>IF(AH$2&gt;='[3]3 цех result'!$C36,$AK103,"")</f>
        <v xml:space="preserve">Строительство  заходов на ВЛ-35 кВ Черный Ключ-2 5 км (МРСК)  и ВЛ-35 кВ Денискино (МРСК).      Установка 2-х реклоузеров в местах подключения к ВЛ-Черный Ключ-2 и Денискино (МСРК)  </v>
      </c>
      <c r="AK103" s="12" t="s">
        <v>112</v>
      </c>
      <c r="AL103" s="19"/>
      <c r="AM103" s="71">
        <f>SUM(D103:AJ103)</f>
        <v>194736.17549704015</v>
      </c>
      <c r="AN103" s="71">
        <f>'[3]3 цех_CapEx'!$V36</f>
        <v>194736.17549704015</v>
      </c>
      <c r="AO103" s="71">
        <f>AM103-AN103</f>
        <v>0</v>
      </c>
      <c r="AP103" s="55" t="s">
        <v>236</v>
      </c>
      <c r="AQ103" s="81" t="s">
        <v>219</v>
      </c>
    </row>
    <row r="104" spans="1:43" s="38" customFormat="1" hidden="1">
      <c r="A104" s="78">
        <f>A102+1</f>
        <v>83</v>
      </c>
      <c r="B104" s="27" t="s">
        <v>34</v>
      </c>
      <c r="C104" s="41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30"/>
      <c r="AL104" s="27"/>
      <c r="AM104" s="27"/>
      <c r="AN104" s="27"/>
      <c r="AO104" s="27"/>
      <c r="AP104" s="61"/>
      <c r="AQ104" s="77"/>
    </row>
    <row r="105" spans="1:43" ht="180">
      <c r="A105" s="78">
        <v>84</v>
      </c>
      <c r="B105" s="19" t="str">
        <f>'[3]3 цех_CapEx'!$B40</f>
        <v>ПС 35/6 кВ 1х2500 кВА "Ивановская"</v>
      </c>
      <c r="C105" s="32">
        <f>'[3]3 цех_CapEx'!$W40</f>
        <v>1</v>
      </c>
      <c r="D105" s="20">
        <f>IF(D$2='[3]3 цех result'!$C40,'[3]3 цех_CapEx'!F40,0)</f>
        <v>0</v>
      </c>
      <c r="E105" s="20">
        <f>IF(D$2&gt;='[3]3 цех result'!$D40,'[3]3 цех_CapEx'!F40,0)</f>
        <v>0</v>
      </c>
      <c r="F105" s="20" t="str">
        <f>IF(D$2&gt;='[3]3 цех result'!$C40,$AK105,"")</f>
        <v/>
      </c>
      <c r="G105" s="20">
        <f>IF(G$2='[3]3 цех result'!$C40,'[3]3 цех_CapEx'!G40,0)</f>
        <v>0</v>
      </c>
      <c r="H105" s="20">
        <f>IF(G$2&gt;='[3]3 цех result'!$D40,'[3]3 цех_CapEx'!G40,0)</f>
        <v>0</v>
      </c>
      <c r="I105" s="20" t="str">
        <f>IF(G$2&gt;='[3]3 цех result'!$C40,$AK105,"")</f>
        <v/>
      </c>
      <c r="J105" s="20">
        <f>IF(J$2='[3]3 цех result'!$C40,'[3]3 цех_CapEx'!H40,0)</f>
        <v>0</v>
      </c>
      <c r="K105" s="20">
        <f>IF(J$2&gt;='[3]3 цех result'!$D40,'[3]3 цех_CapEx'!H40,0)</f>
        <v>0</v>
      </c>
      <c r="L105" s="20" t="str">
        <f>IF(J$2&gt;='[3]3 цех result'!$C40,$AK105,"")</f>
        <v/>
      </c>
      <c r="M105" s="20">
        <f>IF(M$2='[3]3 цех result'!$C40,'[3]3 цех_CapEx'!I40,0)</f>
        <v>0</v>
      </c>
      <c r="N105" s="20">
        <f>IF(M$2&gt;='[3]3 цех result'!$D40,'[3]3 цех_CapEx'!I40,0)</f>
        <v>0</v>
      </c>
      <c r="O105" s="20" t="str">
        <f>IF(M$2&gt;='[3]3 цех result'!$C40,$AK105,"")</f>
        <v/>
      </c>
      <c r="P105" s="20">
        <f>IF(P$2='[3]3 цех result'!$C40,'[3]3 цех_CapEx'!J40,0)</f>
        <v>0</v>
      </c>
      <c r="Q105" s="20">
        <f>IF(P$2&gt;='[3]3 цех result'!$D40,'[3]3 цех_CapEx'!J40,0)</f>
        <v>0</v>
      </c>
      <c r="R105" s="20" t="str">
        <f>IF(P$2&gt;='[3]3 цех result'!$C40,$AK105,"")</f>
        <v/>
      </c>
      <c r="S105" s="20">
        <f>IF(S$2='[3]3 цех result'!$C40,'[3]3 цех_CapEx'!K40,0)</f>
        <v>10191.551176101808</v>
      </c>
      <c r="T105" s="20">
        <f>IF(S$2&gt;='[3]3 цех result'!$D40,'[3]3 цех_CapEx'!K40,0)</f>
        <v>0</v>
      </c>
      <c r="U105" s="20" t="str">
        <f>IF(S$2&gt;='[3]3 цех result'!$C40,$AK105,"")</f>
        <v xml:space="preserve">Установка Т-1,2-Т 35/6 кВ 2500 кВА - 2 шт;
ОРУ по схеме 35-5Н с установкой  ВВ-35кВ 1000А - 3шт. На ПС Елховка реконструкция ОРУ-35 кВ по схеме 35-5Н с установкой ВВ-35 кВ 1000А - 3 шт. Строительство ВЛ-35 кВ Ивановская - Елховка 20 км, АС 95. </v>
      </c>
      <c r="V105" s="20">
        <f>IF(V$2='[3]3 цех result'!$C40,'[3]3 цех_CapEx'!L40,0)</f>
        <v>0</v>
      </c>
      <c r="W105" s="20">
        <f>IF(V$2&gt;='[3]3 цех result'!$D40,'[3]3 цех_CapEx'!L40,0)</f>
        <v>110420.0753935864</v>
      </c>
      <c r="X105" s="20" t="str">
        <f>IF(V$2&gt;='[3]3 цех result'!$C40,$AK105,"")</f>
        <v xml:space="preserve">Установка Т-1,2-Т 35/6 кВ 2500 кВА - 2 шт;
ОРУ по схеме 35-5Н с установкой  ВВ-35кВ 1000А - 3шт. На ПС Елховка реконструкция ОРУ-35 кВ по схеме 35-5Н с установкой ВВ-35 кВ 1000А - 3 шт. Строительство ВЛ-35 кВ Ивановская - Елховка 20 км, АС 95. </v>
      </c>
      <c r="Y105" s="20">
        <f>IF(Y$2='[3]3 цех result'!$C40,'[3]3 цех_CapEx'!M40,0)</f>
        <v>0</v>
      </c>
      <c r="Z105" s="20">
        <f>IF(Y$2&gt;='[3]3 цех result'!$D40,'[3]3 цех_CapEx'!M40,0)</f>
        <v>112628.47690145814</v>
      </c>
      <c r="AA105" s="20" t="str">
        <f>IF(Y$2&gt;='[3]3 цех result'!$C40,$AK105,"")</f>
        <v xml:space="preserve">Установка Т-1,2-Т 35/6 кВ 2500 кВА - 2 шт;
ОРУ по схеме 35-5Н с установкой  ВВ-35кВ 1000А - 3шт. На ПС Елховка реконструкция ОРУ-35 кВ по схеме 35-5Н с установкой ВВ-35 кВ 1000А - 3 шт. Строительство ВЛ-35 кВ Ивановская - Елховка 20 км, АС 95. </v>
      </c>
      <c r="AB105" s="20">
        <f>IF(AB$2='[3]3 цех result'!$C40,'[3]3 цех_CapEx'!N40,0)</f>
        <v>0</v>
      </c>
      <c r="AC105" s="20">
        <f>IF(AB$2&gt;='[3]3 цех result'!$D40,'[3]3 цех_CapEx'!N40,0)</f>
        <v>0</v>
      </c>
      <c r="AD105" s="20" t="str">
        <f>IF(AB$2&gt;='[3]3 цех result'!$C40,$AK105,"")</f>
        <v xml:space="preserve">Установка Т-1,2-Т 35/6 кВ 2500 кВА - 2 шт;
ОРУ по схеме 35-5Н с установкой  ВВ-35кВ 1000А - 3шт. На ПС Елховка реконструкция ОРУ-35 кВ по схеме 35-5Н с установкой ВВ-35 кВ 1000А - 3 шт. Строительство ВЛ-35 кВ Ивановская - Елховка 20 км, АС 95. </v>
      </c>
      <c r="AE105" s="20">
        <f>IF(AE$2='[3]3 цех result'!$C40,'[3]3 цех_CapEx'!O40,0)</f>
        <v>0</v>
      </c>
      <c r="AF105" s="20">
        <f>IF(AE$2&gt;='[3]3 цех result'!$D40,'[3]3 цех_CapEx'!O40,0)</f>
        <v>0</v>
      </c>
      <c r="AG105" s="20" t="str">
        <f>IF(AE$2&gt;='[3]3 цех result'!$C40,$AK105,"")</f>
        <v xml:space="preserve">Установка Т-1,2-Т 35/6 кВ 2500 кВА - 2 шт;
ОРУ по схеме 35-5Н с установкой  ВВ-35кВ 1000А - 3шт. На ПС Елховка реконструкция ОРУ-35 кВ по схеме 35-5Н с установкой ВВ-35 кВ 1000А - 3 шт. Строительство ВЛ-35 кВ Ивановская - Елховка 20 км, АС 95. </v>
      </c>
      <c r="AH105" s="20">
        <f>IF(AH$2='[3]3 цех result'!$C40,'[3]3 цех_CapEx'!P40,0)</f>
        <v>0</v>
      </c>
      <c r="AI105" s="20">
        <f>IF(AH$2&gt;='[3]3 цех result'!$D40,'[3]3 цех_CapEx'!P40,0)</f>
        <v>0</v>
      </c>
      <c r="AJ105" s="20" t="str">
        <f>IF(AH$2&gt;='[3]3 цех result'!$C40,$AK105,"")</f>
        <v xml:space="preserve">Установка Т-1,2-Т 35/6 кВ 2500 кВА - 2 шт;
ОРУ по схеме 35-5Н с установкой  ВВ-35кВ 1000А - 3шт. На ПС Елховка реконструкция ОРУ-35 кВ по схеме 35-5Н с установкой ВВ-35 кВ 1000А - 3 шт. Строительство ВЛ-35 кВ Ивановская - Елховка 20 км, АС 95. </v>
      </c>
      <c r="AK105" s="12" t="s">
        <v>113</v>
      </c>
      <c r="AL105" s="19"/>
      <c r="AM105" s="71">
        <f>SUM(D105:AJ105)</f>
        <v>233240.10347114637</v>
      </c>
      <c r="AN105" s="71">
        <f>'[3]3 цех_CapEx'!$V40</f>
        <v>233240.10347114637</v>
      </c>
      <c r="AO105" s="71">
        <f>AM105-AN105</f>
        <v>0</v>
      </c>
      <c r="AP105" s="55" t="s">
        <v>237</v>
      </c>
      <c r="AQ105" s="81" t="s">
        <v>219</v>
      </c>
    </row>
    <row r="106" spans="1:43" ht="240">
      <c r="A106" s="78">
        <v>85</v>
      </c>
      <c r="B106" s="19" t="str">
        <f>'[3]3 цех_CapEx'!$B42</f>
        <v>ПС 35/6кВ 1х4000кВА "Малиновская"</v>
      </c>
      <c r="C106" s="32">
        <f>'[3]3 цех_CapEx'!$W42</f>
        <v>1</v>
      </c>
      <c r="D106" s="20">
        <f>IF(D$2='[3]3 цех result'!$C42,'[3]3 цех_CapEx'!F42,0)</f>
        <v>0</v>
      </c>
      <c r="E106" s="20">
        <f>IF(D$2&gt;='[3]3 цех result'!$D42,'[3]3 цех_CapEx'!F42,0)</f>
        <v>0</v>
      </c>
      <c r="F106" s="20" t="str">
        <f>IF(D$2&gt;='[3]3 цех result'!$C42,$AK106,"")</f>
        <v/>
      </c>
      <c r="G106" s="20">
        <f>IF(G$2='[3]3 цех result'!$C42,'[3]3 цех_CapEx'!G42,0)</f>
        <v>0</v>
      </c>
      <c r="H106" s="20">
        <f>IF(G$2&gt;='[3]3 цех result'!$D42,'[3]3 цех_CapEx'!G42,0)</f>
        <v>0</v>
      </c>
      <c r="I106" s="20" t="str">
        <f>IF(G$2&gt;='[3]3 цех result'!$C42,$AK106,"")</f>
        <v/>
      </c>
      <c r="J106" s="20">
        <f>IF(J$2='[3]3 цех result'!$C42,'[3]3 цех_CapEx'!H42,0)</f>
        <v>0</v>
      </c>
      <c r="K106" s="20">
        <f>IF(J$2&gt;='[3]3 цех result'!$D42,'[3]3 цех_CapEx'!H42,0)</f>
        <v>0</v>
      </c>
      <c r="L106" s="20" t="str">
        <f>IF(J$2&gt;='[3]3 цех result'!$C42,$AK106,"")</f>
        <v/>
      </c>
      <c r="M106" s="20">
        <f>IF(M$2='[3]3 цех result'!$C42,'[3]3 цех_CapEx'!I42,0)</f>
        <v>0</v>
      </c>
      <c r="N106" s="20">
        <f>IF(M$2&gt;='[3]3 цех result'!$D42,'[3]3 цех_CapEx'!I42,0)</f>
        <v>0</v>
      </c>
      <c r="O106" s="20" t="str">
        <f>IF(M$2&gt;='[3]3 цех result'!$C42,$AK106,"")</f>
        <v/>
      </c>
      <c r="P106" s="20">
        <f>IF(P$2='[3]3 цех result'!$C42,'[3]3 цех_CapEx'!J42,0)</f>
        <v>3177.2699162585445</v>
      </c>
      <c r="Q106" s="20">
        <f>IF(P$2&gt;='[3]3 цех result'!$D42,'[3]3 цех_CapEx'!J42,0)</f>
        <v>0</v>
      </c>
      <c r="R106" s="20" t="str">
        <f>IF(P$2&gt;='[3]3 цех result'!$C42,$AK106,"")</f>
        <v>Установка блоков ВВ-35 кВ - 4 шт, блока СВВ-35 кВ -1 шт., ТН-35 - 2шт., СТ 4000 кВА -2 шт., реконструкция ОРУ-35 в схему  "мостик с ВВ в цепях линий и СТ без ремонтной перемычки" двухсекционного РУ-6 кВ - 1 шт, установка на ПС 110/35/6 кВ "Радаевская" блока ВВ-35 -1 шт. Номинал ВВ-35 - 1000 А.</v>
      </c>
      <c r="S106" s="20">
        <f>IF(S$2='[3]3 цех result'!$C42,'[3]3 цех_CapEx'!K42,0)</f>
        <v>0</v>
      </c>
      <c r="T106" s="20">
        <f>IF(S$2&gt;='[3]3 цех result'!$D42,'[3]3 цех_CapEx'!K42,0)</f>
        <v>0</v>
      </c>
      <c r="U106" s="20" t="str">
        <f>IF(S$2&gt;='[3]3 цех result'!$C42,$AK106,"")</f>
        <v>Установка блоков ВВ-35 кВ - 4 шт, блока СВВ-35 кВ -1 шт., ТН-35 - 2шт., СТ 4000 кВА -2 шт., реконструкция ОРУ-35 в схему  "мостик с ВВ в цепях линий и СТ без ремонтной перемычки" двухсекционного РУ-6 кВ - 1 шт, установка на ПС 110/35/6 кВ "Радаевская" блока ВВ-35 -1 шт. Номинал ВВ-35 - 1000 А.</v>
      </c>
      <c r="V106" s="20">
        <f>IF(V$2='[3]3 цех result'!$C42,'[3]3 цех_CapEx'!L42,0)</f>
        <v>0</v>
      </c>
      <c r="W106" s="20">
        <f>IF(V$2&gt;='[3]3 цех result'!$D42,'[3]3 цех_CapEx'!L42,0)</f>
        <v>0</v>
      </c>
      <c r="X106" s="20" t="str">
        <f>IF(V$2&gt;='[3]3 цех result'!$C42,$AK106,"")</f>
        <v>Установка блоков ВВ-35 кВ - 4 шт, блока СВВ-35 кВ -1 шт., ТН-35 - 2шт., СТ 4000 кВА -2 шт., реконструкция ОРУ-35 в схему  "мостик с ВВ в цепях линий и СТ без ремонтной перемычки" двухсекционного РУ-6 кВ - 1 шт, установка на ПС 110/35/6 кВ "Радаевская" блока ВВ-35 -1 шт. Номинал ВВ-35 - 1000 А.</v>
      </c>
      <c r="Y106" s="20">
        <f>IF(Y$2='[3]3 цех result'!$C42,'[3]3 цех_CapEx'!M42,0)</f>
        <v>0</v>
      </c>
      <c r="Z106" s="20">
        <f>IF(Y$2&gt;='[3]3 цех result'!$D42,'[3]3 цех_CapEx'!M42,0)</f>
        <v>116077.0923262736</v>
      </c>
      <c r="AA106" s="20" t="str">
        <f>IF(Y$2&gt;='[3]3 цех result'!$C42,$AK106,"")</f>
        <v>Установка блоков ВВ-35 кВ - 4 шт, блока СВВ-35 кВ -1 шт., ТН-35 - 2шт., СТ 4000 кВА -2 шт., реконструкция ОРУ-35 в схему  "мостик с ВВ в цепях линий и СТ без ремонтной перемычки" двухсекционного РУ-6 кВ - 1 шт, установка на ПС 110/35/6 кВ "Радаевская" блока ВВ-35 -1 шт. Номинал ВВ-35 - 1000 А.</v>
      </c>
      <c r="AB106" s="20">
        <f>IF(AB$2='[3]3 цех result'!$C42,'[3]3 цех_CapEx'!N42,0)</f>
        <v>0</v>
      </c>
      <c r="AC106" s="20">
        <f>IF(AB$2&gt;='[3]3 цех result'!$D42,'[3]3 цех_CapEx'!N42,0)</f>
        <v>0</v>
      </c>
      <c r="AD106" s="20" t="str">
        <f>IF(AB$2&gt;='[3]3 цех result'!$C42,$AK106,"")</f>
        <v>Установка блоков ВВ-35 кВ - 4 шт, блока СВВ-35 кВ -1 шт., ТН-35 - 2шт., СТ 4000 кВА -2 шт., реконструкция ОРУ-35 в схему  "мостик с ВВ в цепях линий и СТ без ремонтной перемычки" двухсекционного РУ-6 кВ - 1 шт, установка на ПС 110/35/6 кВ "Радаевская" блока ВВ-35 -1 шт. Номинал ВВ-35 - 1000 А.</v>
      </c>
      <c r="AE106" s="20">
        <f>IF(AE$2='[3]3 цех result'!$C42,'[3]3 цех_CapEx'!O42,0)</f>
        <v>0</v>
      </c>
      <c r="AF106" s="20">
        <f>IF(AE$2&gt;='[3]3 цех result'!$D42,'[3]3 цех_CapEx'!O42,0)</f>
        <v>0</v>
      </c>
      <c r="AG106" s="20" t="str">
        <f>IF(AE$2&gt;='[3]3 цех result'!$C42,$AK106,"")</f>
        <v>Установка блоков ВВ-35 кВ - 4 шт, блока СВВ-35 кВ -1 шт., ТН-35 - 2шт., СТ 4000 кВА -2 шт., реконструкция ОРУ-35 в схему  "мостик с ВВ в цепях линий и СТ без ремонтной перемычки" двухсекционного РУ-6 кВ - 1 шт, установка на ПС 110/35/6 кВ "Радаевская" блока ВВ-35 -1 шт. Номинал ВВ-35 - 1000 А.</v>
      </c>
      <c r="AH106" s="20">
        <f>IF(AH$2='[3]3 цех result'!$C42,'[3]3 цех_CapEx'!P42,0)</f>
        <v>0</v>
      </c>
      <c r="AI106" s="20">
        <f>IF(AH$2&gt;='[3]3 цех result'!$D42,'[3]3 цех_CapEx'!P42,0)</f>
        <v>0</v>
      </c>
      <c r="AJ106" s="20" t="str">
        <f>IF(AH$2&gt;='[3]3 цех result'!$C42,$AK106,"")</f>
        <v>Установка блоков ВВ-35 кВ - 4 шт, блока СВВ-35 кВ -1 шт., ТН-35 - 2шт., СТ 4000 кВА -2 шт., реконструкция ОРУ-35 в схему  "мостик с ВВ в цепях линий и СТ без ремонтной перемычки" двухсекционного РУ-6 кВ - 1 шт, установка на ПС 110/35/6 кВ "Радаевская" блока ВВ-35 -1 шт. Номинал ВВ-35 - 1000 А.</v>
      </c>
      <c r="AK106" s="12" t="s">
        <v>114</v>
      </c>
      <c r="AL106" s="19"/>
      <c r="AM106" s="71">
        <f>SUM(D106:AJ106)</f>
        <v>119254.36224253215</v>
      </c>
      <c r="AN106" s="71">
        <f>'[3]3 цех_CapEx'!$V42</f>
        <v>119254.36224253215</v>
      </c>
      <c r="AO106" s="71">
        <f>AM106-AN106</f>
        <v>0</v>
      </c>
      <c r="AP106" s="54" t="s">
        <v>238</v>
      </c>
      <c r="AQ106" s="81" t="s">
        <v>219</v>
      </c>
    </row>
    <row r="107" spans="1:43" s="38" customFormat="1" hidden="1">
      <c r="A107" s="78">
        <f>A105+1</f>
        <v>85</v>
      </c>
      <c r="B107" s="27" t="s">
        <v>35</v>
      </c>
      <c r="C107" s="41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30"/>
      <c r="AL107" s="27"/>
      <c r="AM107" s="27"/>
      <c r="AN107" s="27"/>
      <c r="AO107" s="27"/>
      <c r="AP107" s="61"/>
      <c r="AQ107" s="77"/>
    </row>
    <row r="108" spans="1:43" ht="120">
      <c r="A108" s="78">
        <v>86</v>
      </c>
      <c r="B108" s="19" t="str">
        <f>'[3]3 цех_CapEx'!$B46</f>
        <v>ПС 35/6 кВ  "Боровская"</v>
      </c>
      <c r="C108" s="32">
        <f>'[3]3 цех_CapEx'!$W46</f>
        <v>1</v>
      </c>
      <c r="D108" s="20">
        <f>IF(D$2='[3]3 цех result'!$C46,'[3]3 цех_CapEx'!F46,0)</f>
        <v>0</v>
      </c>
      <c r="E108" s="20">
        <f>IF(D$2&gt;='[3]3 цех result'!$D46,'[3]3 цех_CapEx'!F46,0)</f>
        <v>0</v>
      </c>
      <c r="F108" s="20" t="str">
        <f>IF(D$2&gt;='[3]3 цех result'!$C46,$AK108,"")</f>
        <v/>
      </c>
      <c r="G108" s="20">
        <f>IF(G$2='[3]3 цех result'!$C46,'[3]3 цех_CapEx'!G46,0)</f>
        <v>0</v>
      </c>
      <c r="H108" s="20">
        <f>IF(G$2&gt;='[3]3 цех result'!$D46,'[3]3 цех_CapEx'!G46,0)</f>
        <v>0</v>
      </c>
      <c r="I108" s="20" t="str">
        <f>IF(G$2&gt;='[3]3 цех result'!$C46,$AK108,"")</f>
        <v/>
      </c>
      <c r="J108" s="20">
        <f>IF(J$2='[3]3 цех result'!$C46,'[3]3 цех_CapEx'!H46,0)</f>
        <v>0</v>
      </c>
      <c r="K108" s="20">
        <f>IF(J$2&gt;='[3]3 цех result'!$D46,'[3]3 цех_CapEx'!H46,0)</f>
        <v>0</v>
      </c>
      <c r="L108" s="20" t="str">
        <f>IF(J$2&gt;='[3]3 цех result'!$C46,$AK108,"")</f>
        <v/>
      </c>
      <c r="M108" s="20">
        <f>IF(M$2='[3]3 цех result'!$C46,'[3]3 цех_CapEx'!I46,0)</f>
        <v>0</v>
      </c>
      <c r="N108" s="20">
        <f>IF(M$2&gt;='[3]3 цех result'!$D46,'[3]3 цех_CapEx'!I46,0)</f>
        <v>0</v>
      </c>
      <c r="O108" s="20" t="str">
        <f>IF(M$2&gt;='[3]3 цех result'!$C46,$AK108,"")</f>
        <v/>
      </c>
      <c r="P108" s="20">
        <f>IF(P$2='[3]3 цех result'!$C46,'[3]3 цех_CapEx'!J46,0)</f>
        <v>8172.6450269908009</v>
      </c>
      <c r="Q108" s="20">
        <f>IF(P$2&gt;='[3]3 цех result'!$D46,'[3]3 цех_CapEx'!J46,0)</f>
        <v>0</v>
      </c>
      <c r="R108" s="20" t="str">
        <f>IF(P$2&gt;='[3]3 цех result'!$C46,$AK108,"")</f>
        <v xml:space="preserve"> Установка ВВ-35 кВ - 3 шт.: ВВ-35 - 2 шт., на ПС Красногородецкая ВВ-35 - 1 шт.; ВЛ-35 кВ 22 км. Схема - "Заход - выход". Номинал ВВ-35 кВ - 1000 А.</v>
      </c>
      <c r="S108" s="20">
        <f>IF(S$2='[3]3 цех result'!$C46,'[3]3 цех_CapEx'!K46,0)</f>
        <v>0</v>
      </c>
      <c r="T108" s="20">
        <f>IF(S$2&gt;='[3]3 цех result'!$D46,'[3]3 цех_CapEx'!K46,0)</f>
        <v>0</v>
      </c>
      <c r="U108" s="20" t="str">
        <f>IF(S$2&gt;='[3]3 цех result'!$C46,$AK108,"")</f>
        <v xml:space="preserve"> Установка ВВ-35 кВ - 3 шт.: ВВ-35 - 2 шт., на ПС Красногородецкая ВВ-35 - 1 шт.; ВЛ-35 кВ 22 км. Схема - "Заход - выход". Номинал ВВ-35 кВ - 1000 А.</v>
      </c>
      <c r="V108" s="20">
        <f>IF(V$2='[3]3 цех result'!$C46,'[3]3 цех_CapEx'!L46,0)</f>
        <v>0</v>
      </c>
      <c r="W108" s="20">
        <f>IF(V$2&gt;='[3]3 цех result'!$D46,'[3]3 цех_CapEx'!L46,0)</f>
        <v>155042.35728735439</v>
      </c>
      <c r="X108" s="20" t="str">
        <f>IF(V$2&gt;='[3]3 цех result'!$C46,$AK108,"")</f>
        <v xml:space="preserve"> Установка ВВ-35 кВ - 3 шт.: ВВ-35 - 2 шт., на ПС Красногородецкая ВВ-35 - 1 шт.; ВЛ-35 кВ 22 км. Схема - "Заход - выход". Номинал ВВ-35 кВ - 1000 А.</v>
      </c>
      <c r="Y108" s="20">
        <f>IF(Y$2='[3]3 цех result'!$C46,'[3]3 цех_CapEx'!M46,0)</f>
        <v>0</v>
      </c>
      <c r="Z108" s="20">
        <f>IF(Y$2&gt;='[3]3 цех result'!$D46,'[3]3 цех_CapEx'!M46,0)</f>
        <v>0</v>
      </c>
      <c r="AA108" s="20" t="str">
        <f>IF(Y$2&gt;='[3]3 цех result'!$C46,$AK108,"")</f>
        <v xml:space="preserve"> Установка ВВ-35 кВ - 3 шт.: ВВ-35 - 2 шт., на ПС Красногородецкая ВВ-35 - 1 шт.; ВЛ-35 кВ 22 км. Схема - "Заход - выход". Номинал ВВ-35 кВ - 1000 А.</v>
      </c>
      <c r="AB108" s="20">
        <f>IF(AB$2='[3]3 цех result'!$C46,'[3]3 цех_CapEx'!N46,0)</f>
        <v>0</v>
      </c>
      <c r="AC108" s="20">
        <f>IF(AB$2&gt;='[3]3 цех result'!$D46,'[3]3 цех_CapEx'!N46,0)</f>
        <v>0</v>
      </c>
      <c r="AD108" s="20" t="str">
        <f>IF(AB$2&gt;='[3]3 цех result'!$C46,$AK108,"")</f>
        <v xml:space="preserve"> Установка ВВ-35 кВ - 3 шт.: ВВ-35 - 2 шт., на ПС Красногородецкая ВВ-35 - 1 шт.; ВЛ-35 кВ 22 км. Схема - "Заход - выход". Номинал ВВ-35 кВ - 1000 А.</v>
      </c>
      <c r="AE108" s="20">
        <f>IF(AE$2='[3]3 цех result'!$C46,'[3]3 цех_CapEx'!O46,0)</f>
        <v>0</v>
      </c>
      <c r="AF108" s="20">
        <f>IF(AE$2&gt;='[3]3 цех result'!$D46,'[3]3 цех_CapEx'!O46,0)</f>
        <v>0</v>
      </c>
      <c r="AG108" s="20" t="str">
        <f>IF(AE$2&gt;='[3]3 цех result'!$C46,$AK108,"")</f>
        <v xml:space="preserve"> Установка ВВ-35 кВ - 3 шт.: ВВ-35 - 2 шт., на ПС Красногородецкая ВВ-35 - 1 шт.; ВЛ-35 кВ 22 км. Схема - "Заход - выход". Номинал ВВ-35 кВ - 1000 А.</v>
      </c>
      <c r="AH108" s="20">
        <f>IF(AH$2='[3]3 цех result'!$C46,'[3]3 цех_CapEx'!P46,0)</f>
        <v>0</v>
      </c>
      <c r="AI108" s="20">
        <f>IF(AH$2&gt;='[3]3 цех result'!$D46,'[3]3 цех_CapEx'!P46,0)</f>
        <v>0</v>
      </c>
      <c r="AJ108" s="20" t="str">
        <f>IF(AH$2&gt;='[3]3 цех result'!$C46,$AK108,"")</f>
        <v xml:space="preserve"> Установка ВВ-35 кВ - 3 шт.: ВВ-35 - 2 шт., на ПС Красногородецкая ВВ-35 - 1 шт.; ВЛ-35 кВ 22 км. Схема - "Заход - выход". Номинал ВВ-35 кВ - 1000 А.</v>
      </c>
      <c r="AK108" s="12" t="s">
        <v>115</v>
      </c>
      <c r="AL108" s="19"/>
      <c r="AM108" s="71">
        <f>SUM(D108:AJ108)</f>
        <v>163215.00231434518</v>
      </c>
      <c r="AN108" s="71">
        <f>'[3]3 цех_CapEx'!$V46</f>
        <v>163215.00231434518</v>
      </c>
      <c r="AO108" s="71">
        <f>AM108-AN108</f>
        <v>0</v>
      </c>
      <c r="AP108" s="56" t="s">
        <v>239</v>
      </c>
      <c r="AQ108" s="81" t="s">
        <v>219</v>
      </c>
    </row>
    <row r="109" spans="1:43" ht="195">
      <c r="A109" s="78">
        <v>87</v>
      </c>
      <c r="B109" s="19" t="str">
        <f>'[3]3 цех_CapEx'!$B48</f>
        <v>ПС 35/6 кВ 2х2500кВА Смагинская</v>
      </c>
      <c r="C109" s="32">
        <f>'[3]3 цех_CapEx'!$W48</f>
        <v>1</v>
      </c>
      <c r="D109" s="20">
        <f>IF(D$2='[3]3 цех result'!$C48,'[3]3 цех_CapEx'!F48,0)</f>
        <v>0</v>
      </c>
      <c r="E109" s="20">
        <f>IF(D$2&gt;='[3]3 цех result'!$D48,'[3]3 цех_CapEx'!F48,0)</f>
        <v>0</v>
      </c>
      <c r="F109" s="20" t="str">
        <f>IF(D$2&gt;='[3]3 цех result'!$C48,$AK109,"")</f>
        <v/>
      </c>
      <c r="G109" s="20">
        <f>IF(G$2='[3]3 цех result'!$C48,'[3]3 цех_CapEx'!G48,0)</f>
        <v>0</v>
      </c>
      <c r="H109" s="20">
        <f>IF(G$2&gt;='[3]3 цех result'!$D48,'[3]3 цех_CapEx'!G48,0)</f>
        <v>0</v>
      </c>
      <c r="I109" s="20" t="str">
        <f>IF(G$2&gt;='[3]3 цех result'!$C48,$AK109,"")</f>
        <v/>
      </c>
      <c r="J109" s="20">
        <f>IF(J$2='[3]3 цех result'!$C48,'[3]3 цех_CapEx'!H48,0)</f>
        <v>0</v>
      </c>
      <c r="K109" s="20">
        <f>IF(J$2&gt;='[3]3 цех result'!$D48,'[3]3 цех_CapEx'!H48,0)</f>
        <v>0</v>
      </c>
      <c r="L109" s="20" t="str">
        <f>IF(J$2&gt;='[3]3 цех result'!$C48,$AK109,"")</f>
        <v/>
      </c>
      <c r="M109" s="20">
        <f>IF(M$2='[3]3 цех result'!$C48,'[3]3 цех_CapEx'!I48,0)</f>
        <v>0</v>
      </c>
      <c r="N109" s="20">
        <f>IF(M$2&gt;='[3]3 цех result'!$D48,'[3]3 цех_CapEx'!I48,0)</f>
        <v>0</v>
      </c>
      <c r="O109" s="20" t="str">
        <f>IF(M$2&gt;='[3]3 цех result'!$C48,$AK109,"")</f>
        <v/>
      </c>
      <c r="P109" s="20">
        <f>IF(P$2='[3]3 цех result'!$C48,'[3]3 цех_CapEx'!J48,0)</f>
        <v>0</v>
      </c>
      <c r="Q109" s="20">
        <f>IF(P$2&gt;='[3]3 цех result'!$D48,'[3]3 цех_CapEx'!J48,0)</f>
        <v>0</v>
      </c>
      <c r="R109" s="20" t="str">
        <f>IF(P$2&gt;='[3]3 цех result'!$C48,$AK109,"")</f>
        <v/>
      </c>
      <c r="S109" s="20">
        <f>IF(S$2='[3]3 цех result'!$C48,'[3]3 цех_CapEx'!K48,0)</f>
        <v>10384.498822941267</v>
      </c>
      <c r="T109" s="20">
        <f>IF(S$2&gt;='[3]3 цех result'!$D48,'[3]3 цех_CapEx'!K48,0)</f>
        <v>0</v>
      </c>
      <c r="U109" s="20" t="str">
        <f>IF(S$2&gt;='[3]3 цех result'!$C48,$AK109,"")</f>
        <v>ОРУ-35 кВ по схеме 35-9 с установкой ВВ-35кВ 1000А - 7 шт. 
На ПС 110/35/6 кВ Исаклинская расширение ОРУ-35 кВ с установкой ВВ-35 кВ 1000А- 2 шт.;
Строительство двухцепной ВЛ-35 кВ Смагинская-Исаклинская 16 км, АС-95.</v>
      </c>
      <c r="V109" s="20">
        <f>IF(V$2='[3]3 цех result'!$C48,'[3]3 цех_CapEx'!L48,0)</f>
        <v>0</v>
      </c>
      <c r="W109" s="20">
        <f>IF(V$2&gt;='[3]3 цех result'!$D48,'[3]3 цех_CapEx'!L48,0)</f>
        <v>0</v>
      </c>
      <c r="X109" s="20" t="str">
        <f>IF(V$2&gt;='[3]3 цех result'!$C48,$AK109,"")</f>
        <v>ОРУ-35 кВ по схеме 35-9 с установкой ВВ-35кВ 1000А - 7 шт. 
На ПС 110/35/6 кВ Исаклинская расширение ОРУ-35 кВ с установкой ВВ-35 кВ 1000А- 2 шт.;
Строительство двухцепной ВЛ-35 кВ Смагинская-Исаклинская 16 км, АС-95.</v>
      </c>
      <c r="Y109" s="20">
        <f>IF(Y$2='[3]3 цех result'!$C48,'[3]3 цех_CapEx'!M48,0)</f>
        <v>0</v>
      </c>
      <c r="Z109" s="20">
        <f>IF(Y$2&gt;='[3]3 цех result'!$D48,'[3]3 цех_CapEx'!M48,0)</f>
        <v>214585.85151918192</v>
      </c>
      <c r="AA109" s="20" t="str">
        <f>IF(Y$2&gt;='[3]3 цех result'!$C48,$AK109,"")</f>
        <v>ОРУ-35 кВ по схеме 35-9 с установкой ВВ-35кВ 1000А - 7 шт. 
На ПС 110/35/6 кВ Исаклинская расширение ОРУ-35 кВ с установкой ВВ-35 кВ 1000А- 2 шт.;
Строительство двухцепной ВЛ-35 кВ Смагинская-Исаклинская 16 км, АС-95.</v>
      </c>
      <c r="AB109" s="20">
        <f>IF(AB$2='[3]3 цех result'!$C48,'[3]3 цех_CapEx'!N48,0)</f>
        <v>0</v>
      </c>
      <c r="AC109" s="20">
        <f>IF(AB$2&gt;='[3]3 цех result'!$D48,'[3]3 цех_CapEx'!N48,0)</f>
        <v>0</v>
      </c>
      <c r="AD109" s="20" t="str">
        <f>IF(AB$2&gt;='[3]3 цех result'!$C48,$AK109,"")</f>
        <v>ОРУ-35 кВ по схеме 35-9 с установкой ВВ-35кВ 1000А - 7 шт. 
На ПС 110/35/6 кВ Исаклинская расширение ОРУ-35 кВ с установкой ВВ-35 кВ 1000А- 2 шт.;
Строительство двухцепной ВЛ-35 кВ Смагинская-Исаклинская 16 км, АС-95.</v>
      </c>
      <c r="AE109" s="20">
        <f>IF(AE$2='[3]3 цех result'!$C48,'[3]3 цех_CapEx'!O48,0)</f>
        <v>0</v>
      </c>
      <c r="AF109" s="20">
        <f>IF(AE$2&gt;='[3]3 цех result'!$D48,'[3]3 цех_CapEx'!O48,0)</f>
        <v>0</v>
      </c>
      <c r="AG109" s="20" t="str">
        <f>IF(AE$2&gt;='[3]3 цех result'!$C48,$AK109,"")</f>
        <v>ОРУ-35 кВ по схеме 35-9 с установкой ВВ-35кВ 1000А - 7 шт. 
На ПС 110/35/6 кВ Исаклинская расширение ОРУ-35 кВ с установкой ВВ-35 кВ 1000А- 2 шт.;
Строительство двухцепной ВЛ-35 кВ Смагинская-Исаклинская 16 км, АС-95.</v>
      </c>
      <c r="AH109" s="20">
        <f>IF(AH$2='[3]3 цех result'!$C48,'[3]3 цех_CapEx'!P48,0)</f>
        <v>0</v>
      </c>
      <c r="AI109" s="20">
        <f>IF(AH$2&gt;='[3]3 цех result'!$D48,'[3]3 цех_CapEx'!P48,0)</f>
        <v>0</v>
      </c>
      <c r="AJ109" s="20" t="str">
        <f>IF(AH$2&gt;='[3]3 цех result'!$C48,$AK109,"")</f>
        <v>ОРУ-35 кВ по схеме 35-9 с установкой ВВ-35кВ 1000А - 7 шт. 
На ПС 110/35/6 кВ Исаклинская расширение ОРУ-35 кВ с установкой ВВ-35 кВ 1000А- 2 шт.;
Строительство двухцепной ВЛ-35 кВ Смагинская-Исаклинская 16 км, АС-95.</v>
      </c>
      <c r="AK109" s="12" t="s">
        <v>116</v>
      </c>
      <c r="AL109" s="19"/>
      <c r="AM109" s="71">
        <f>SUM(D109:AJ109)</f>
        <v>224970.35034212319</v>
      </c>
      <c r="AN109" s="71">
        <f>'[3]3 цех_CapEx'!$V48</f>
        <v>224970.35034212319</v>
      </c>
      <c r="AO109" s="71">
        <f>AM109-AN109</f>
        <v>0</v>
      </c>
      <c r="AP109" s="55" t="s">
        <v>240</v>
      </c>
      <c r="AQ109" s="81" t="s">
        <v>219</v>
      </c>
    </row>
    <row r="110" spans="1:43" s="25" customFormat="1">
      <c r="A110" s="90">
        <v>88</v>
      </c>
      <c r="B110" s="22" t="s">
        <v>36</v>
      </c>
      <c r="C110" s="22"/>
      <c r="D110" s="23"/>
      <c r="E110" s="23"/>
      <c r="F110" s="23"/>
      <c r="G110" s="24"/>
      <c r="H110" s="23"/>
      <c r="I110" s="23"/>
      <c r="J110" s="24"/>
      <c r="K110" s="23"/>
      <c r="L110" s="23"/>
      <c r="M110" s="24"/>
      <c r="N110" s="23"/>
      <c r="O110" s="23"/>
      <c r="P110" s="24"/>
      <c r="Q110" s="23"/>
      <c r="R110" s="23"/>
      <c r="S110" s="24"/>
      <c r="T110" s="23"/>
      <c r="U110" s="23"/>
      <c r="V110" s="24"/>
      <c r="W110" s="23"/>
      <c r="X110" s="23"/>
      <c r="Y110" s="24"/>
      <c r="Z110" s="23"/>
      <c r="AA110" s="23"/>
      <c r="AB110" s="24"/>
      <c r="AC110" s="23"/>
      <c r="AD110" s="23"/>
      <c r="AE110" s="24"/>
      <c r="AF110" s="23"/>
      <c r="AG110" s="23"/>
      <c r="AH110" s="24"/>
      <c r="AI110" s="23"/>
      <c r="AJ110" s="23"/>
      <c r="AK110" s="58"/>
      <c r="AL110" s="22"/>
      <c r="AM110" s="69">
        <f>SUMIF(C112:C133,1,AM112:AM133)</f>
        <v>901220.18436241872</v>
      </c>
      <c r="AN110" s="68" t="str">
        <f>IF(ROUND(AM110,5)=ROUND('Свод по цехам_Инвестиции'!R5,5),"","!!!")</f>
        <v>!!!</v>
      </c>
      <c r="AO110" s="22"/>
      <c r="AP110" s="60"/>
      <c r="AQ110" s="75"/>
    </row>
    <row r="111" spans="1:43" s="31" customFormat="1" hidden="1">
      <c r="A111" s="78">
        <f>A109+1</f>
        <v>88</v>
      </c>
      <c r="B111" s="27" t="s">
        <v>11</v>
      </c>
      <c r="C111" s="28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30"/>
      <c r="AL111" s="27"/>
      <c r="AM111" s="27"/>
      <c r="AN111" s="70"/>
      <c r="AO111" s="27"/>
      <c r="AP111" s="61"/>
      <c r="AQ111" s="77"/>
    </row>
    <row r="112" spans="1:43" ht="60">
      <c r="A112" s="78">
        <v>89</v>
      </c>
      <c r="B112" s="19" t="str">
        <f>'[4]4 цех_CapEx'!$B9</f>
        <v>ПС 35/6кВ 1х4000 кВА "Кривая Лука" (трансформаторы)</v>
      </c>
      <c r="C112" s="32">
        <f>'[4]4 цех_CapEx'!$W9</f>
        <v>1</v>
      </c>
      <c r="D112" s="20">
        <f>IF(D$2='[4]4 цех result'!$C9,'[4]4 цех_CapEx'!F9,0)</f>
        <v>522.90318000000002</v>
      </c>
      <c r="E112" s="20">
        <f>IF(D$2&gt;='[4]4 цех result'!$D9,'[4]4 цех_CapEx'!F9,0)</f>
        <v>0</v>
      </c>
      <c r="F112" s="20" t="str">
        <f>IF(D$2&gt;='[4]4 цех result'!$C9,$AK112,"")</f>
        <v>Замена:
Т-1-Т 35/6 кВ с РПН, тип - ТМН. 4000 кВА - 1 шт.</v>
      </c>
      <c r="G112" s="20">
        <f>IF(G$2='[4]4 цех result'!$C9,'[4]4 цех_CapEx'!G9,0)</f>
        <v>0</v>
      </c>
      <c r="H112" s="20">
        <f>IF(G$2&gt;='[4]4 цех result'!$D9,'[4]4 цех_CapEx'!G9,0)</f>
        <v>0</v>
      </c>
      <c r="I112" s="20" t="str">
        <f>IF(G$2&gt;='[4]4 цех result'!$C9,$AK112,"")</f>
        <v>Замена:
Т-1-Т 35/6 кВ с РПН, тип - ТМН. 4000 кВА - 1 шт.</v>
      </c>
      <c r="J112" s="20">
        <f>IF(J$2='[4]4 цех result'!$C9,'[4]4 цех_CapEx'!H9,0)</f>
        <v>0</v>
      </c>
      <c r="K112" s="20">
        <f>IF(J$2&gt;='[4]4 цех result'!$D9,'[4]4 цех_CapEx'!H9,0)</f>
        <v>0</v>
      </c>
      <c r="L112" s="20" t="str">
        <f>IF(J$2&gt;='[4]4 цех result'!$C9,$AK112,"")</f>
        <v>Замена:
Т-1-Т 35/6 кВ с РПН, тип - ТМН. 4000 кВА - 1 шт.</v>
      </c>
      <c r="M112" s="20">
        <f>IF(M$2='[4]4 цех result'!$C9,'[4]4 цех_CapEx'!I9,0)</f>
        <v>0</v>
      </c>
      <c r="N112" s="20">
        <f>IF(M$2&gt;='[4]4 цех result'!$D9,'[4]4 цех_CapEx'!I9,0)</f>
        <v>20626.529436484965</v>
      </c>
      <c r="O112" s="20" t="str">
        <f>IF(M$2&gt;='[4]4 цех result'!$C9,$AK112,"")</f>
        <v>Замена:
Т-1-Т 35/6 кВ с РПН, тип - ТМН. 4000 кВА - 1 шт.</v>
      </c>
      <c r="P112" s="20">
        <f>IF(P$2='[4]4 цех result'!$C9,'[4]4 цех_CapEx'!J9,0)</f>
        <v>0</v>
      </c>
      <c r="Q112" s="20">
        <f>IF(P$2&gt;='[4]4 цех result'!$D9,'[4]4 цех_CapEx'!J9,0)</f>
        <v>0</v>
      </c>
      <c r="R112" s="20" t="str">
        <f>IF(P$2&gt;='[4]4 цех result'!$C9,$AK112,"")</f>
        <v>Замена:
Т-1-Т 35/6 кВ с РПН, тип - ТМН. 4000 кВА - 1 шт.</v>
      </c>
      <c r="S112" s="20">
        <f>IF(S$2='[4]4 цех result'!$C9,'[4]4 цех_CapEx'!K9,0)</f>
        <v>0</v>
      </c>
      <c r="T112" s="20">
        <f>IF(S$2&gt;='[4]4 цех result'!$D9,'[4]4 цех_CapEx'!K9,0)</f>
        <v>0</v>
      </c>
      <c r="U112" s="20" t="str">
        <f>IF(S$2&gt;='[4]4 цех result'!$C9,$AK112,"")</f>
        <v>Замена:
Т-1-Т 35/6 кВ с РПН, тип - ТМН. 4000 кВА - 1 шт.</v>
      </c>
      <c r="V112" s="20">
        <f>IF(V$2='[4]4 цех result'!$C9,'[4]4 цех_CapEx'!L9,0)</f>
        <v>0</v>
      </c>
      <c r="W112" s="20">
        <f>IF(V$2&gt;='[4]4 цех result'!$D9,'[4]4 цех_CapEx'!L9,0)</f>
        <v>0</v>
      </c>
      <c r="X112" s="20" t="str">
        <f>IF(V$2&gt;='[4]4 цех result'!$C9,$AK112,"")</f>
        <v>Замена:
Т-1-Т 35/6 кВ с РПН, тип - ТМН. 4000 кВА - 1 шт.</v>
      </c>
      <c r="Y112" s="20">
        <f>IF(Y$2='[4]4 цех result'!$C9,'[4]4 цех_CapEx'!M9,0)</f>
        <v>0</v>
      </c>
      <c r="Z112" s="20">
        <f>IF(Y$2&gt;='[4]4 цех result'!$D9,'[4]4 цех_CapEx'!M9,0)</f>
        <v>0</v>
      </c>
      <c r="AA112" s="20" t="str">
        <f>IF(Y$2&gt;='[4]4 цех result'!$C9,$AK112,"")</f>
        <v>Замена:
Т-1-Т 35/6 кВ с РПН, тип - ТМН. 4000 кВА - 1 шт.</v>
      </c>
      <c r="AB112" s="20">
        <f>IF(AB$2='[4]4 цех result'!$C9,'[4]4 цех_CapEx'!N9,0)</f>
        <v>0</v>
      </c>
      <c r="AC112" s="20">
        <f>IF(AB$2&gt;='[4]4 цех result'!$D9,'[4]4 цех_CapEx'!N9,0)</f>
        <v>0</v>
      </c>
      <c r="AD112" s="20" t="str">
        <f>IF(AB$2&gt;='[4]4 цех result'!$C9,$AK112,"")</f>
        <v>Замена:
Т-1-Т 35/6 кВ с РПН, тип - ТМН. 4000 кВА - 1 шт.</v>
      </c>
      <c r="AE112" s="20">
        <f>IF(AE$2='[4]4 цех result'!$C9,'[4]4 цех_CapEx'!O9,0)</f>
        <v>0</v>
      </c>
      <c r="AF112" s="20">
        <f>IF(AE$2&gt;='[4]4 цех result'!$D9,'[4]4 цех_CapEx'!O9,0)</f>
        <v>0</v>
      </c>
      <c r="AG112" s="20" t="str">
        <f>IF(AE$2&gt;='[4]4 цех result'!$C9,$AK112,"")</f>
        <v>Замена:
Т-1-Т 35/6 кВ с РПН, тип - ТМН. 4000 кВА - 1 шт.</v>
      </c>
      <c r="AH112" s="20">
        <f>IF(AH$2='[4]4 цех result'!$C9,'[4]4 цех_CapEx'!P9,0)</f>
        <v>0</v>
      </c>
      <c r="AI112" s="20">
        <f>IF(AH$2&gt;='[4]4 цех result'!$D9,'[4]4 цех_CapEx'!P9,0)</f>
        <v>0</v>
      </c>
      <c r="AJ112" s="20" t="str">
        <f>IF(AH$2&gt;='[4]4 цех result'!$C9,$AK112,"")</f>
        <v>Замена:
Т-1-Т 35/6 кВ с РПН, тип - ТМН. 4000 кВА - 1 шт.</v>
      </c>
      <c r="AK112" s="12" t="s">
        <v>119</v>
      </c>
      <c r="AL112" s="19"/>
      <c r="AM112" s="71">
        <f t="shared" ref="AM112:AM117" si="7">SUM(D112:AJ112)</f>
        <v>21149.432616484966</v>
      </c>
      <c r="AN112" s="71">
        <f>'[4]4 цех_CapEx'!$V9</f>
        <v>21149.432616484966</v>
      </c>
      <c r="AO112" s="71">
        <f t="shared" ref="AO112:AO117" si="8">AM112-AN112</f>
        <v>0</v>
      </c>
      <c r="AP112" s="275" t="s">
        <v>241</v>
      </c>
      <c r="AQ112" s="274" t="s">
        <v>242</v>
      </c>
    </row>
    <row r="113" spans="1:43" ht="30">
      <c r="A113" s="78">
        <v>90</v>
      </c>
      <c r="B113" s="19" t="str">
        <f>'[4]4 цех_CapEx'!$B10</f>
        <v>ПС 35/6кВ 1х4000 кВА "Кривая Лука"</v>
      </c>
      <c r="C113" s="32">
        <f>'[4]4 цех_CapEx'!$W10</f>
        <v>1</v>
      </c>
      <c r="D113" s="20">
        <f>IF(D$2='[4]4 цех result'!$C10,'[4]4 цех_CapEx'!F10,0)</f>
        <v>0</v>
      </c>
      <c r="E113" s="20">
        <f>IF(D$2&gt;='[4]4 цех result'!$D10,'[4]4 цех_CapEx'!F10,0)</f>
        <v>0</v>
      </c>
      <c r="F113" s="20" t="str">
        <f>IF(D$2&gt;='[4]4 цех result'!$C10,$AK113,"")</f>
        <v/>
      </c>
      <c r="G113" s="20">
        <f>IF(G$2='[4]4 цех result'!$C10,'[4]4 цех_CapEx'!G10,0)</f>
        <v>0</v>
      </c>
      <c r="H113" s="20">
        <f>IF(G$2&gt;='[4]4 цех result'!$D10,'[4]4 цех_CapEx'!G10,0)</f>
        <v>0</v>
      </c>
      <c r="I113" s="20" t="str">
        <f>IF(G$2&gt;='[4]4 цех result'!$C10,$AK113,"")</f>
        <v/>
      </c>
      <c r="J113" s="20">
        <f>IF(J$2='[4]4 цех result'!$C10,'[4]4 цех_CapEx'!H10,0)</f>
        <v>322.47915719999997</v>
      </c>
      <c r="K113" s="20">
        <f>IF(J$2&gt;='[4]4 цех result'!$D10,'[4]4 цех_CapEx'!H10,0)</f>
        <v>0</v>
      </c>
      <c r="L113" s="20" t="str">
        <f>IF(J$2&gt;='[4]4 цех result'!$C10,$AK113,"")</f>
        <v>Замена: ВВ-35 кВ -1000 А - 1 шт.</v>
      </c>
      <c r="M113" s="20">
        <f>IF(M$2='[4]4 цех result'!$C10,'[4]4 цех_CapEx'!I10,0)</f>
        <v>0</v>
      </c>
      <c r="N113" s="20">
        <f>IF(M$2&gt;='[4]4 цех result'!$D10,'[4]4 цех_CapEx'!I10,0)</f>
        <v>0</v>
      </c>
      <c r="O113" s="20" t="str">
        <f>IF(M$2&gt;='[4]4 цех result'!$C10,$AK113,"")</f>
        <v>Замена: ВВ-35 кВ -1000 А - 1 шт.</v>
      </c>
      <c r="P113" s="20">
        <f>IF(P$2='[4]4 цех result'!$C10,'[4]4 цех_CapEx'!J10,0)</f>
        <v>0</v>
      </c>
      <c r="Q113" s="20">
        <f>IF(P$2&gt;='[4]4 цех result'!$D10,'[4]4 цех_CapEx'!J10,0)</f>
        <v>11660.181406572843</v>
      </c>
      <c r="R113" s="20" t="str">
        <f>IF(P$2&gt;='[4]4 цех result'!$C10,$AK113,"")</f>
        <v>Замена: ВВ-35 кВ -1000 А - 1 шт.</v>
      </c>
      <c r="S113" s="20">
        <f>IF(S$2='[4]4 цех result'!$C10,'[4]4 цех_CapEx'!K10,0)</f>
        <v>0</v>
      </c>
      <c r="T113" s="20">
        <f>IF(S$2&gt;='[4]4 цех result'!$D10,'[4]4 цех_CapEx'!K10,0)</f>
        <v>0</v>
      </c>
      <c r="U113" s="20" t="str">
        <f>IF(S$2&gt;='[4]4 цех result'!$C10,$AK113,"")</f>
        <v>Замена: ВВ-35 кВ -1000 А - 1 шт.</v>
      </c>
      <c r="V113" s="20">
        <f>IF(V$2='[4]4 цех result'!$C10,'[4]4 цех_CapEx'!L10,0)</f>
        <v>0</v>
      </c>
      <c r="W113" s="20">
        <f>IF(V$2&gt;='[4]4 цех result'!$D10,'[4]4 цех_CapEx'!L10,0)</f>
        <v>0</v>
      </c>
      <c r="X113" s="20" t="str">
        <f>IF(V$2&gt;='[4]4 цех result'!$C10,$AK113,"")</f>
        <v>Замена: ВВ-35 кВ -1000 А - 1 шт.</v>
      </c>
      <c r="Y113" s="20">
        <f>IF(Y$2='[4]4 цех result'!$C10,'[4]4 цех_CapEx'!M10,0)</f>
        <v>0</v>
      </c>
      <c r="Z113" s="20">
        <f>IF(Y$2&gt;='[4]4 цех result'!$D10,'[4]4 цех_CapEx'!M10,0)</f>
        <v>0</v>
      </c>
      <c r="AA113" s="20" t="str">
        <f>IF(Y$2&gt;='[4]4 цех result'!$C10,$AK113,"")</f>
        <v>Замена: ВВ-35 кВ -1000 А - 1 шт.</v>
      </c>
      <c r="AB113" s="20">
        <f>IF(AB$2='[4]4 цех result'!$C10,'[4]4 цех_CapEx'!N10,0)</f>
        <v>0</v>
      </c>
      <c r="AC113" s="20">
        <f>IF(AB$2&gt;='[4]4 цех result'!$D10,'[4]4 цех_CapEx'!N10,0)</f>
        <v>0</v>
      </c>
      <c r="AD113" s="20" t="str">
        <f>IF(AB$2&gt;='[4]4 цех result'!$C10,$AK113,"")</f>
        <v>Замена: ВВ-35 кВ -1000 А - 1 шт.</v>
      </c>
      <c r="AE113" s="20">
        <f>IF(AE$2='[4]4 цех result'!$C10,'[4]4 цех_CapEx'!O10,0)</f>
        <v>0</v>
      </c>
      <c r="AF113" s="20">
        <f>IF(AE$2&gt;='[4]4 цех result'!$D10,'[4]4 цех_CapEx'!O10,0)</f>
        <v>0</v>
      </c>
      <c r="AG113" s="20" t="str">
        <f>IF(AE$2&gt;='[4]4 цех result'!$C10,$AK113,"")</f>
        <v>Замена: ВВ-35 кВ -1000 А - 1 шт.</v>
      </c>
      <c r="AH113" s="20">
        <f>IF(AH$2='[4]4 цех result'!$C10,'[4]4 цех_CapEx'!P10,0)</f>
        <v>0</v>
      </c>
      <c r="AI113" s="20">
        <f>IF(AH$2&gt;='[4]4 цех result'!$D10,'[4]4 цех_CapEx'!P10,0)</f>
        <v>0</v>
      </c>
      <c r="AJ113" s="20" t="str">
        <f>IF(AH$2&gt;='[4]4 цех result'!$C10,$AK113,"")</f>
        <v>Замена: ВВ-35 кВ -1000 А - 1 шт.</v>
      </c>
      <c r="AK113" s="12" t="s">
        <v>120</v>
      </c>
      <c r="AL113" s="19"/>
      <c r="AM113" s="71">
        <f t="shared" si="7"/>
        <v>11982.660563772843</v>
      </c>
      <c r="AN113" s="71">
        <f>'[4]4 цех_CapEx'!$V10</f>
        <v>11982.660563772843</v>
      </c>
      <c r="AO113" s="71">
        <f t="shared" si="8"/>
        <v>0</v>
      </c>
      <c r="AP113" s="275"/>
      <c r="AQ113" s="274"/>
    </row>
    <row r="114" spans="1:43" ht="75">
      <c r="A114" s="78">
        <v>91</v>
      </c>
      <c r="B114" s="19" t="str">
        <f>'[4]4 цех_CapEx'!$B11</f>
        <v>ПС 35/6кВ 2*4000кВа "Чубовка"</v>
      </c>
      <c r="C114" s="32">
        <f>'[4]4 цех_CapEx'!$W11</f>
        <v>1</v>
      </c>
      <c r="D114" s="20">
        <f>IF(D$2='[4]4 цех result'!$C11,'[4]4 цех_CapEx'!F11,0)</f>
        <v>0</v>
      </c>
      <c r="E114" s="20">
        <f>IF(D$2&gt;='[4]4 цех result'!$D11,'[4]4 цех_CapEx'!F11,0)</f>
        <v>0</v>
      </c>
      <c r="F114" s="20" t="str">
        <f>IF(D$2&gt;='[4]4 цех result'!$C11,$AK114,"")</f>
        <v/>
      </c>
      <c r="G114" s="20">
        <f>IF(G$2='[4]4 цех result'!$C11,'[4]4 цех_CapEx'!G11,0)</f>
        <v>0</v>
      </c>
      <c r="H114" s="20">
        <f>IF(G$2&gt;='[4]4 цех result'!$D11,'[4]4 цех_CapEx'!G11,0)</f>
        <v>0</v>
      </c>
      <c r="I114" s="20" t="str">
        <f>IF(G$2&gt;='[4]4 цех result'!$C11,$AK114,"")</f>
        <v/>
      </c>
      <c r="J114" s="20">
        <f>IF(J$2='[4]4 цех result'!$C11,'[4]4 цех_CapEx'!H11,0)</f>
        <v>0</v>
      </c>
      <c r="K114" s="20">
        <f>IF(J$2&gt;='[4]4 цех result'!$D11,'[4]4 цех_CapEx'!H11,0)</f>
        <v>0</v>
      </c>
      <c r="L114" s="20" t="str">
        <f>IF(J$2&gt;='[4]4 цех result'!$C11,$AK114,"")</f>
        <v/>
      </c>
      <c r="M114" s="20">
        <f>IF(M$2='[4]4 цех result'!$C11,'[4]4 цех_CapEx'!I11,0)</f>
        <v>0</v>
      </c>
      <c r="N114" s="20">
        <f>IF(M$2&gt;='[4]4 цех result'!$D11,'[4]4 цех_CapEx'!I11,0)</f>
        <v>0</v>
      </c>
      <c r="O114" s="20" t="str">
        <f>IF(M$2&gt;='[4]4 цех result'!$C11,$AK114,"")</f>
        <v/>
      </c>
      <c r="P114" s="20">
        <f>IF(P$2='[4]4 цех result'!$C11,'[4]4 цех_CapEx'!J11,0)</f>
        <v>3163.0525181187818</v>
      </c>
      <c r="Q114" s="20">
        <f>IF(P$2&gt;='[4]4 цех result'!$D11,'[4]4 цех_CapEx'!J11,0)</f>
        <v>0</v>
      </c>
      <c r="R114" s="20" t="str">
        <f>IF(P$2&gt;='[4]4 цех result'!$C11,$AK114,"")</f>
        <v>Замена:                                                                                               ВВ-35 кВ-4 шт., СВВ-35 кВ-1 шт., 1000 А. КРУН-6 кВ - 20 ячеек.</v>
      </c>
      <c r="S114" s="20">
        <f>IF(S$2='[4]4 цех result'!$C11,'[4]4 цех_CapEx'!K11,0)</f>
        <v>0</v>
      </c>
      <c r="T114" s="20">
        <f>IF(S$2&gt;='[4]4 цех result'!$D11,'[4]4 цех_CapEx'!K11,0)</f>
        <v>0</v>
      </c>
      <c r="U114" s="20" t="str">
        <f>IF(S$2&gt;='[4]4 цех result'!$C11,$AK114,"")</f>
        <v>Замена:                                                                                               ВВ-35 кВ-4 шт., СВВ-35 кВ-1 шт., 1000 А. КРУН-6 кВ - 20 ячеек.</v>
      </c>
      <c r="V114" s="20">
        <f>IF(V$2='[4]4 цех result'!$C11,'[4]4 цех_CapEx'!L11,0)</f>
        <v>0</v>
      </c>
      <c r="W114" s="20">
        <f>IF(V$2&gt;='[4]4 цех result'!$D11,'[4]4 цех_CapEx'!L11,0)</f>
        <v>113291.84280458992</v>
      </c>
      <c r="X114" s="20" t="str">
        <f>IF(V$2&gt;='[4]4 цех result'!$C11,$AK114,"")</f>
        <v>Замена:                                                                                               ВВ-35 кВ-4 шт., СВВ-35 кВ-1 шт., 1000 А. КРУН-6 кВ - 20 ячеек.</v>
      </c>
      <c r="Y114" s="20">
        <f>IF(Y$2='[4]4 цех result'!$C11,'[4]4 цех_CapEx'!M11,0)</f>
        <v>0</v>
      </c>
      <c r="Z114" s="20">
        <f>IF(Y$2&gt;='[4]4 цех result'!$D11,'[4]4 цех_CapEx'!M11,0)</f>
        <v>0</v>
      </c>
      <c r="AA114" s="20" t="str">
        <f>IF(Y$2&gt;='[4]4 цех result'!$C11,$AK114,"")</f>
        <v>Замена:                                                                                               ВВ-35 кВ-4 шт., СВВ-35 кВ-1 шт., 1000 А. КРУН-6 кВ - 20 ячеек.</v>
      </c>
      <c r="AB114" s="20">
        <f>IF(AB$2='[4]4 цех result'!$C11,'[4]4 цех_CapEx'!N11,0)</f>
        <v>0</v>
      </c>
      <c r="AC114" s="20">
        <f>IF(AB$2&gt;='[4]4 цех result'!$D11,'[4]4 цех_CapEx'!N11,0)</f>
        <v>0</v>
      </c>
      <c r="AD114" s="20" t="str">
        <f>IF(AB$2&gt;='[4]4 цех result'!$C11,$AK114,"")</f>
        <v>Замена:                                                                                               ВВ-35 кВ-4 шт., СВВ-35 кВ-1 шт., 1000 А. КРУН-6 кВ - 20 ячеек.</v>
      </c>
      <c r="AE114" s="20">
        <f>IF(AE$2='[4]4 цех result'!$C11,'[4]4 цех_CapEx'!O11,0)</f>
        <v>0</v>
      </c>
      <c r="AF114" s="20">
        <f>IF(AE$2&gt;='[4]4 цех result'!$D11,'[4]4 цех_CapEx'!O11,0)</f>
        <v>0</v>
      </c>
      <c r="AG114" s="20" t="str">
        <f>IF(AE$2&gt;='[4]4 цех result'!$C11,$AK114,"")</f>
        <v>Замена:                                                                                               ВВ-35 кВ-4 шт., СВВ-35 кВ-1 шт., 1000 А. КРУН-6 кВ - 20 ячеек.</v>
      </c>
      <c r="AH114" s="20">
        <f>IF(AH$2='[4]4 цех result'!$C11,'[4]4 цех_CapEx'!P11,0)</f>
        <v>0</v>
      </c>
      <c r="AI114" s="20">
        <f>IF(AH$2&gt;='[4]4 цех result'!$D11,'[4]4 цех_CapEx'!P11,0)</f>
        <v>0</v>
      </c>
      <c r="AJ114" s="20" t="str">
        <f>IF(AH$2&gt;='[4]4 цех result'!$C11,$AK114,"")</f>
        <v>Замена:                                                                                               ВВ-35 кВ-4 шт., СВВ-35 кВ-1 шт., 1000 А. КРУН-6 кВ - 20 ячеек.</v>
      </c>
      <c r="AK114" s="12" t="s">
        <v>121</v>
      </c>
      <c r="AL114" s="19"/>
      <c r="AM114" s="71">
        <f t="shared" si="7"/>
        <v>116454.8953227087</v>
      </c>
      <c r="AN114" s="71">
        <f>'[4]4 цех_CapEx'!$V11</f>
        <v>116454.8953227087</v>
      </c>
      <c r="AO114" s="71">
        <f t="shared" si="8"/>
        <v>0</v>
      </c>
      <c r="AP114" s="275" t="s">
        <v>243</v>
      </c>
      <c r="AQ114" s="274" t="s">
        <v>242</v>
      </c>
    </row>
    <row r="115" spans="1:43" ht="45">
      <c r="A115" s="78">
        <v>92</v>
      </c>
      <c r="B115" s="19" t="str">
        <f>'[4]4 цех_CapEx'!$B12</f>
        <v>ПС 35/6кВ 2*4000кВа "Чубовка" (БСК)</v>
      </c>
      <c r="C115" s="32">
        <f>'[4]4 цех_CapEx'!$W12</f>
        <v>1</v>
      </c>
      <c r="D115" s="20">
        <f>IF(D$2='[4]4 цех result'!$C12,'[4]4 цех_CapEx'!F12,0)</f>
        <v>0</v>
      </c>
      <c r="E115" s="20">
        <f>IF(D$2&gt;='[4]4 цех result'!$D12,'[4]4 цех_CapEx'!F12,0)</f>
        <v>0</v>
      </c>
      <c r="F115" s="20" t="str">
        <f>IF(D$2&gt;='[4]4 цех result'!$C12,$AK115,"")</f>
        <v/>
      </c>
      <c r="G115" s="20">
        <f>IF(G$2='[4]4 цех result'!$C12,'[4]4 цех_CapEx'!G12,0)</f>
        <v>0</v>
      </c>
      <c r="H115" s="20">
        <f>IF(G$2&gt;='[4]4 цех result'!$D12,'[4]4 цех_CapEx'!G12,0)</f>
        <v>0</v>
      </c>
      <c r="I115" s="20" t="str">
        <f>IF(G$2&gt;='[4]4 цех result'!$C12,$AK115,"")</f>
        <v/>
      </c>
      <c r="J115" s="20">
        <f>IF(J$2='[4]4 цех result'!$C12,'[4]4 цех_CapEx'!H12,0)</f>
        <v>0</v>
      </c>
      <c r="K115" s="20">
        <f>IF(J$2&gt;='[4]4 цех result'!$D12,'[4]4 цех_CapEx'!H12,0)</f>
        <v>0</v>
      </c>
      <c r="L115" s="20" t="str">
        <f>IF(J$2&gt;='[4]4 цех result'!$C12,$AK115,"")</f>
        <v/>
      </c>
      <c r="M115" s="20">
        <f>IF(M$2='[4]4 цех result'!$C12,'[4]4 цех_CapEx'!I12,0)</f>
        <v>0</v>
      </c>
      <c r="N115" s="20">
        <f>IF(M$2&gt;='[4]4 цех result'!$D12,'[4]4 цех_CapEx'!I12,0)</f>
        <v>0</v>
      </c>
      <c r="O115" s="20" t="str">
        <f>IF(M$2&gt;='[4]4 цех result'!$C12,$AK115,"")</f>
        <v/>
      </c>
      <c r="P115" s="20">
        <f>IF(P$2='[4]4 цех result'!$C12,'[4]4 цех_CapEx'!J12,0)</f>
        <v>0</v>
      </c>
      <c r="Q115" s="20">
        <f>IF(P$2&gt;='[4]4 цех result'!$D12,'[4]4 цех_CapEx'!J12,0)</f>
        <v>0</v>
      </c>
      <c r="R115" s="20" t="str">
        <f>IF(P$2&gt;='[4]4 цех result'!$C12,$AK115,"")</f>
        <v/>
      </c>
      <c r="S115" s="20">
        <f>IF(S$2='[4]4 цех result'!$C12,'[4]4 цех_CapEx'!K12,0)</f>
        <v>155.72953862601057</v>
      </c>
      <c r="T115" s="20">
        <f>IF(S$2&gt;='[4]4 цех result'!$D12,'[4]4 цех_CapEx'!K12,0)</f>
        <v>0</v>
      </c>
      <c r="U115" s="20" t="str">
        <f>IF(S$2&gt;='[4]4 цех result'!$C12,$AK115,"")</f>
        <v xml:space="preserve">
Установка БСК 6 кВ 1000 кВАр 2 сш</v>
      </c>
      <c r="V115" s="20">
        <f>IF(V$2='[4]4 цех result'!$C12,'[4]4 цех_CapEx'!L12,0)</f>
        <v>0</v>
      </c>
      <c r="W115" s="20">
        <f>IF(V$2&gt;='[4]4 цех result'!$D12,'[4]4 цех_CapEx'!L12,0)</f>
        <v>0</v>
      </c>
      <c r="X115" s="20" t="str">
        <f>IF(V$2&gt;='[4]4 цех result'!$C12,$AK115,"")</f>
        <v xml:space="preserve">
Установка БСК 6 кВ 1000 кВАр 2 сш</v>
      </c>
      <c r="Y115" s="20">
        <f>IF(Y$2='[4]4 цех result'!$C12,'[4]4 цех_CapEx'!M12,0)</f>
        <v>0</v>
      </c>
      <c r="Z115" s="20">
        <f>IF(Y$2&gt;='[4]4 цех result'!$D12,'[4]4 цех_CapEx'!M12,0)</f>
        <v>5392.7581930801198</v>
      </c>
      <c r="AA115" s="20" t="str">
        <f>IF(Y$2&gt;='[4]4 цех result'!$C12,$AK115,"")</f>
        <v xml:space="preserve">
Установка БСК 6 кВ 1000 кВАр 2 сш</v>
      </c>
      <c r="AB115" s="20">
        <f>IF(AB$2='[4]4 цех result'!$C12,'[4]4 цех_CapEx'!N12,0)</f>
        <v>0</v>
      </c>
      <c r="AC115" s="20">
        <f>IF(AB$2&gt;='[4]4 цех result'!$D12,'[4]4 цех_CapEx'!N12,0)</f>
        <v>0</v>
      </c>
      <c r="AD115" s="20" t="str">
        <f>IF(AB$2&gt;='[4]4 цех result'!$C12,$AK115,"")</f>
        <v xml:space="preserve">
Установка БСК 6 кВ 1000 кВАр 2 сш</v>
      </c>
      <c r="AE115" s="20">
        <f>IF(AE$2='[4]4 цех result'!$C12,'[4]4 цех_CapEx'!O12,0)</f>
        <v>0</v>
      </c>
      <c r="AF115" s="20">
        <f>IF(AE$2&gt;='[4]4 цех result'!$D12,'[4]4 цех_CapEx'!O12,0)</f>
        <v>0</v>
      </c>
      <c r="AG115" s="20" t="str">
        <f>IF(AE$2&gt;='[4]4 цех result'!$C12,$AK115,"")</f>
        <v xml:space="preserve">
Установка БСК 6 кВ 1000 кВАр 2 сш</v>
      </c>
      <c r="AH115" s="20">
        <f>IF(AH$2='[4]4 цех result'!$C12,'[4]4 цех_CapEx'!P12,0)</f>
        <v>0</v>
      </c>
      <c r="AI115" s="20">
        <f>IF(AH$2&gt;='[4]4 цех result'!$D12,'[4]4 цех_CapEx'!P12,0)</f>
        <v>0</v>
      </c>
      <c r="AJ115" s="20" t="str">
        <f>IF(AH$2&gt;='[4]4 цех result'!$C12,$AK115,"")</f>
        <v xml:space="preserve">
Установка БСК 6 кВ 1000 кВАр 2 сш</v>
      </c>
      <c r="AK115" s="12" t="s">
        <v>122</v>
      </c>
      <c r="AL115" s="19"/>
      <c r="AM115" s="71">
        <f t="shared" si="7"/>
        <v>5548.48773170613</v>
      </c>
      <c r="AN115" s="71">
        <f>'[4]4 цех_CapEx'!$V12</f>
        <v>5548.48773170613</v>
      </c>
      <c r="AO115" s="71">
        <f t="shared" si="8"/>
        <v>0</v>
      </c>
      <c r="AP115" s="275"/>
      <c r="AQ115" s="274"/>
    </row>
    <row r="116" spans="1:43" ht="105">
      <c r="A116" s="78">
        <v>93</v>
      </c>
      <c r="B116" s="19" t="str">
        <f>'[4]4 цех_CapEx'!$B13</f>
        <v>ПС 35/6кВ 1*3150кВа "Стрельная"</v>
      </c>
      <c r="C116" s="32">
        <f>'[4]4 цех_CapEx'!$W13</f>
        <v>1</v>
      </c>
      <c r="D116" s="20">
        <f>IF(D$2='[4]4 цех result'!$C13,'[4]4 цех_CapEx'!F13,0)</f>
        <v>0</v>
      </c>
      <c r="E116" s="20">
        <f>IF(D$2&gt;='[4]4 цех result'!$D13,'[4]4 цех_CapEx'!F13,0)</f>
        <v>0</v>
      </c>
      <c r="F116" s="20" t="str">
        <f>IF(D$2&gt;='[4]4 цех result'!$C13,$AK116,"")</f>
        <v/>
      </c>
      <c r="G116" s="20">
        <f>IF(G$2='[4]4 цех result'!$C13,'[4]4 цех_CapEx'!G13,0)</f>
        <v>0</v>
      </c>
      <c r="H116" s="20">
        <f>IF(G$2&gt;='[4]4 цех result'!$D13,'[4]4 цех_CapEx'!G13,0)</f>
        <v>0</v>
      </c>
      <c r="I116" s="20" t="str">
        <f>IF(G$2&gt;='[4]4 цех result'!$C13,$AK116,"")</f>
        <v/>
      </c>
      <c r="J116" s="20">
        <f>IF(J$2='[4]4 цех result'!$C13,'[4]4 цех_CapEx'!H13,0)</f>
        <v>0</v>
      </c>
      <c r="K116" s="20">
        <f>IF(J$2&gt;='[4]4 цех result'!$D13,'[4]4 цех_CapEx'!H13,0)</f>
        <v>0</v>
      </c>
      <c r="L116" s="20" t="str">
        <f>IF(J$2&gt;='[4]4 цех result'!$C13,$AK116,"")</f>
        <v/>
      </c>
      <c r="M116" s="20">
        <f>IF(M$2='[4]4 цех result'!$C13,'[4]4 цех_CapEx'!I13,0)</f>
        <v>0</v>
      </c>
      <c r="N116" s="20">
        <f>IF(M$2&gt;='[4]4 цех result'!$D13,'[4]4 цех_CapEx'!I13,0)</f>
        <v>0</v>
      </c>
      <c r="O116" s="20" t="str">
        <f>IF(M$2&gt;='[4]4 цех result'!$C13,$AK116,"")</f>
        <v/>
      </c>
      <c r="P116" s="20">
        <f>IF(P$2='[4]4 цех result'!$C13,'[4]4 цех_CapEx'!J13,0)</f>
        <v>1262.6690585206686</v>
      </c>
      <c r="Q116" s="20">
        <f>IF(P$2&gt;='[4]4 цех result'!$D13,'[4]4 цех_CapEx'!J13,0)</f>
        <v>0</v>
      </c>
      <c r="R116" s="20" t="str">
        <f>IF(P$2&gt;='[4]4 цех result'!$C13,$AK116,"")</f>
        <v xml:space="preserve"> Замена:
 МВ-35 кВ на ВВ-35 кВ - 1000 А, 
ЛР-35 Т-1-Т, Замена ТН-6-1,2, ТСН-6-1, 
Замена СТ 35/6 кВ 4000 кВА - 1 шт. </v>
      </c>
      <c r="S116" s="20">
        <f>IF(S$2='[4]4 цех result'!$C13,'[4]4 цех_CapEx'!K13,0)</f>
        <v>0</v>
      </c>
      <c r="T116" s="20">
        <f>IF(S$2&gt;='[4]4 цех result'!$D13,'[4]4 цех_CapEx'!K13,0)</f>
        <v>43071.746034570882</v>
      </c>
      <c r="U116" s="20" t="str">
        <f>IF(S$2&gt;='[4]4 цех result'!$C13,$AK116,"")</f>
        <v xml:space="preserve"> Замена:
 МВ-35 кВ на ВВ-35 кВ - 1000 А, 
ЛР-35 Т-1-Т, Замена ТН-6-1,2, ТСН-6-1, 
Замена СТ 35/6 кВ 4000 кВА - 1 шт. </v>
      </c>
      <c r="V116" s="20">
        <f>IF(V$2='[4]4 цех result'!$C13,'[4]4 цех_CapEx'!L13,0)</f>
        <v>0</v>
      </c>
      <c r="W116" s="20">
        <f>IF(V$2&gt;='[4]4 цех result'!$D13,'[4]4 цех_CapEx'!L13,0)</f>
        <v>0</v>
      </c>
      <c r="X116" s="20" t="str">
        <f>IF(V$2&gt;='[4]4 цех result'!$C13,$AK116,"")</f>
        <v xml:space="preserve"> Замена:
 МВ-35 кВ на ВВ-35 кВ - 1000 А, 
ЛР-35 Т-1-Т, Замена ТН-6-1,2, ТСН-6-1, 
Замена СТ 35/6 кВ 4000 кВА - 1 шт. </v>
      </c>
      <c r="Y116" s="20">
        <f>IF(Y$2='[4]4 цех result'!$C13,'[4]4 цех_CapEx'!M13,0)</f>
        <v>0</v>
      </c>
      <c r="Z116" s="20">
        <f>IF(Y$2&gt;='[4]4 цех result'!$D13,'[4]4 цех_CapEx'!M13,0)</f>
        <v>0</v>
      </c>
      <c r="AA116" s="20" t="str">
        <f>IF(Y$2&gt;='[4]4 цех result'!$C13,$AK116,"")</f>
        <v xml:space="preserve"> Замена:
 МВ-35 кВ на ВВ-35 кВ - 1000 А, 
ЛР-35 Т-1-Т, Замена ТН-6-1,2, ТСН-6-1, 
Замена СТ 35/6 кВ 4000 кВА - 1 шт. </v>
      </c>
      <c r="AB116" s="20">
        <f>IF(AB$2='[4]4 цех result'!$C13,'[4]4 цех_CapEx'!N13,0)</f>
        <v>0</v>
      </c>
      <c r="AC116" s="20">
        <f>IF(AB$2&gt;='[4]4 цех result'!$D13,'[4]4 цех_CapEx'!N13,0)</f>
        <v>0</v>
      </c>
      <c r="AD116" s="20" t="str">
        <f>IF(AB$2&gt;='[4]4 цех result'!$C13,$AK116,"")</f>
        <v xml:space="preserve"> Замена:
 МВ-35 кВ на ВВ-35 кВ - 1000 А, 
ЛР-35 Т-1-Т, Замена ТН-6-1,2, ТСН-6-1, 
Замена СТ 35/6 кВ 4000 кВА - 1 шт. </v>
      </c>
      <c r="AE116" s="20">
        <f>IF(AE$2='[4]4 цех result'!$C13,'[4]4 цех_CapEx'!O13,0)</f>
        <v>0</v>
      </c>
      <c r="AF116" s="20">
        <f>IF(AE$2&gt;='[4]4 цех result'!$D13,'[4]4 цех_CapEx'!O13,0)</f>
        <v>0</v>
      </c>
      <c r="AG116" s="20" t="str">
        <f>IF(AE$2&gt;='[4]4 цех result'!$C13,$AK116,"")</f>
        <v xml:space="preserve"> Замена:
 МВ-35 кВ на ВВ-35 кВ - 1000 А, 
ЛР-35 Т-1-Т, Замена ТН-6-1,2, ТСН-6-1, 
Замена СТ 35/6 кВ 4000 кВА - 1 шт. </v>
      </c>
      <c r="AH116" s="20">
        <f>IF(AH$2='[4]4 цех result'!$C13,'[4]4 цех_CapEx'!P13,0)</f>
        <v>0</v>
      </c>
      <c r="AI116" s="20">
        <f>IF(AH$2&gt;='[4]4 цех result'!$D13,'[4]4 цех_CapEx'!P13,0)</f>
        <v>0</v>
      </c>
      <c r="AJ116" s="20" t="str">
        <f>IF(AH$2&gt;='[4]4 цех result'!$C13,$AK116,"")</f>
        <v xml:space="preserve"> Замена:
 МВ-35 кВ на ВВ-35 кВ - 1000 А, 
ЛР-35 Т-1-Т, Замена ТН-6-1,2, ТСН-6-1, 
Замена СТ 35/6 кВ 4000 кВА - 1 шт. </v>
      </c>
      <c r="AK116" s="12" t="s">
        <v>123</v>
      </c>
      <c r="AL116" s="19"/>
      <c r="AM116" s="71">
        <f t="shared" si="7"/>
        <v>44334.415093091549</v>
      </c>
      <c r="AN116" s="71">
        <f>'[4]4 цех_CapEx'!$V13</f>
        <v>44334.415093091549</v>
      </c>
      <c r="AO116" s="71">
        <f t="shared" si="8"/>
        <v>0</v>
      </c>
      <c r="AP116" s="57" t="s">
        <v>244</v>
      </c>
      <c r="AQ116" s="81" t="s">
        <v>242</v>
      </c>
    </row>
    <row r="117" spans="1:43" ht="120">
      <c r="A117" s="78">
        <v>94</v>
      </c>
      <c r="B117" s="19" t="str">
        <f>'[4]4 цех_CapEx'!$B14</f>
        <v>ПС 35/6кВ 1*2500кВА "Сытовка"</v>
      </c>
      <c r="C117" s="32">
        <f>'[4]4 цех_CapEx'!$W14</f>
        <v>1</v>
      </c>
      <c r="D117" s="20">
        <f>IF(D$2='[4]4 цех result'!$C14,'[4]4 цех_CapEx'!F14,0)</f>
        <v>0</v>
      </c>
      <c r="E117" s="20">
        <f>IF(D$2&gt;='[4]4 цех result'!$D14,'[4]4 цех_CapEx'!F14,0)</f>
        <v>0</v>
      </c>
      <c r="F117" s="20" t="str">
        <f>IF(D$2&gt;='[4]4 цех result'!$C14,$AK117,"")</f>
        <v/>
      </c>
      <c r="G117" s="20">
        <f>IF(G$2='[4]4 цех result'!$C14,'[4]4 цех_CapEx'!G14,0)</f>
        <v>0</v>
      </c>
      <c r="H117" s="20">
        <f>IF(G$2&gt;='[4]4 цех result'!$D14,'[4]4 цех_CapEx'!G14,0)</f>
        <v>0</v>
      </c>
      <c r="I117" s="20" t="str">
        <f>IF(G$2&gt;='[4]4 цех result'!$C14,$AK117,"")</f>
        <v/>
      </c>
      <c r="J117" s="20">
        <f>IF(J$2='[4]4 цех result'!$C14,'[4]4 цех_CapEx'!H14,0)</f>
        <v>0</v>
      </c>
      <c r="K117" s="20">
        <f>IF(J$2&gt;='[4]4 цех result'!$D14,'[4]4 цех_CapEx'!H14,0)</f>
        <v>0</v>
      </c>
      <c r="L117" s="20" t="str">
        <f>IF(J$2&gt;='[4]4 цех result'!$C14,$AK117,"")</f>
        <v/>
      </c>
      <c r="M117" s="20">
        <f>IF(M$2='[4]4 цех result'!$C14,'[4]4 цех_CapEx'!I14,0)</f>
        <v>0</v>
      </c>
      <c r="N117" s="20">
        <f>IF(M$2&gt;='[4]4 цех result'!$D14,'[4]4 цех_CapEx'!I14,0)</f>
        <v>0</v>
      </c>
      <c r="O117" s="20" t="str">
        <f>IF(M$2&gt;='[4]4 цех result'!$C14,$AK117,"")</f>
        <v/>
      </c>
      <c r="P117" s="20">
        <f>IF(P$2='[4]4 цех result'!$C14,'[4]4 цех_CapEx'!J14,0)</f>
        <v>750.74633107894351</v>
      </c>
      <c r="Q117" s="20">
        <f>IF(P$2&gt;='[4]4 цех result'!$D14,'[4]4 цех_CapEx'!J14,0)</f>
        <v>0</v>
      </c>
      <c r="R117" s="20" t="str">
        <f>IF(P$2&gt;='[4]4 цех result'!$C14,$AK117,"")</f>
        <v>Замена:
 оборудование ОРУ-35кВ (ЛР-35 "Санаторная-1", МВ-35 "Санаторная-1" на ВВ-35) РУ-6кВ (МВ-6кВ на ВВ-6кВ в кол-ве 4шт.)</v>
      </c>
      <c r="S117" s="20">
        <f>IF(S$2='[4]4 цех result'!$C14,'[4]4 цех_CapEx'!K14,0)</f>
        <v>0</v>
      </c>
      <c r="T117" s="20">
        <f>IF(S$2&gt;='[4]4 цех result'!$D14,'[4]4 цех_CapEx'!K14,0)</f>
        <v>0</v>
      </c>
      <c r="U117" s="20" t="str">
        <f>IF(S$2&gt;='[4]4 цех result'!$C14,$AK117,"")</f>
        <v>Замена:
 оборудование ОРУ-35кВ (ЛР-35 "Санаторная-1", МВ-35 "Санаторная-1" на ВВ-35) РУ-6кВ (МВ-6кВ на ВВ-6кВ в кол-ве 4шт.)</v>
      </c>
      <c r="V117" s="20">
        <f>IF(V$2='[4]4 цех result'!$C14,'[4]4 цех_CapEx'!L14,0)</f>
        <v>0</v>
      </c>
      <c r="W117" s="20">
        <f>IF(V$2&gt;='[4]4 цех result'!$D14,'[4]4 цех_CapEx'!L14,0)</f>
        <v>26889.669026837284</v>
      </c>
      <c r="X117" s="20" t="str">
        <f>IF(V$2&gt;='[4]4 цех result'!$C14,$AK117,"")</f>
        <v>Замена:
 оборудование ОРУ-35кВ (ЛР-35 "Санаторная-1", МВ-35 "Санаторная-1" на ВВ-35) РУ-6кВ (МВ-6кВ на ВВ-6кВ в кол-ве 4шт.)</v>
      </c>
      <c r="Y117" s="20">
        <f>IF(Y$2='[4]4 цех result'!$C14,'[4]4 цех_CapEx'!M14,0)</f>
        <v>0</v>
      </c>
      <c r="Z117" s="20">
        <f>IF(Y$2&gt;='[4]4 цех result'!$D14,'[4]4 цех_CapEx'!M14,0)</f>
        <v>0</v>
      </c>
      <c r="AA117" s="20" t="str">
        <f>IF(Y$2&gt;='[4]4 цех result'!$C14,$AK117,"")</f>
        <v>Замена:
 оборудование ОРУ-35кВ (ЛР-35 "Санаторная-1", МВ-35 "Санаторная-1" на ВВ-35) РУ-6кВ (МВ-6кВ на ВВ-6кВ в кол-ве 4шт.)</v>
      </c>
      <c r="AB117" s="20">
        <f>IF(AB$2='[4]4 цех result'!$C14,'[4]4 цех_CapEx'!N14,0)</f>
        <v>0</v>
      </c>
      <c r="AC117" s="20">
        <f>IF(AB$2&gt;='[4]4 цех result'!$D14,'[4]4 цех_CapEx'!N14,0)</f>
        <v>0</v>
      </c>
      <c r="AD117" s="20" t="str">
        <f>IF(AB$2&gt;='[4]4 цех result'!$C14,$AK117,"")</f>
        <v>Замена:
 оборудование ОРУ-35кВ (ЛР-35 "Санаторная-1", МВ-35 "Санаторная-1" на ВВ-35) РУ-6кВ (МВ-6кВ на ВВ-6кВ в кол-ве 4шт.)</v>
      </c>
      <c r="AE117" s="20">
        <f>IF(AE$2='[4]4 цех result'!$C14,'[4]4 цех_CapEx'!O14,0)</f>
        <v>0</v>
      </c>
      <c r="AF117" s="20">
        <f>IF(AE$2&gt;='[4]4 цех result'!$D14,'[4]4 цех_CapEx'!O14,0)</f>
        <v>0</v>
      </c>
      <c r="AG117" s="20" t="str">
        <f>IF(AE$2&gt;='[4]4 цех result'!$C14,$AK117,"")</f>
        <v>Замена:
 оборудование ОРУ-35кВ (ЛР-35 "Санаторная-1", МВ-35 "Санаторная-1" на ВВ-35) РУ-6кВ (МВ-6кВ на ВВ-6кВ в кол-ве 4шт.)</v>
      </c>
      <c r="AH117" s="20">
        <f>IF(AH$2='[4]4 цех result'!$C14,'[4]4 цех_CapEx'!P14,0)</f>
        <v>0</v>
      </c>
      <c r="AI117" s="20">
        <f>IF(AH$2&gt;='[4]4 цех result'!$D14,'[4]4 цех_CapEx'!P14,0)</f>
        <v>0</v>
      </c>
      <c r="AJ117" s="20" t="str">
        <f>IF(AH$2&gt;='[4]4 цех result'!$C14,$AK117,"")</f>
        <v>Замена:
 оборудование ОРУ-35кВ (ЛР-35 "Санаторная-1", МВ-35 "Санаторная-1" на ВВ-35) РУ-6кВ (МВ-6кВ на ВВ-6кВ в кол-ве 4шт.)</v>
      </c>
      <c r="AK117" s="12" t="s">
        <v>125</v>
      </c>
      <c r="AL117" s="19"/>
      <c r="AM117" s="71">
        <f t="shared" si="7"/>
        <v>27640.415357916227</v>
      </c>
      <c r="AN117" s="71">
        <f>'[4]4 цех_CapEx'!$V14</f>
        <v>27640.415357916227</v>
      </c>
      <c r="AO117" s="71">
        <f t="shared" si="8"/>
        <v>0</v>
      </c>
      <c r="AP117" s="57" t="s">
        <v>245</v>
      </c>
      <c r="AQ117" s="81" t="s">
        <v>242</v>
      </c>
    </row>
    <row r="118" spans="1:43" s="38" customFormat="1" hidden="1">
      <c r="A118" s="78">
        <f>A117+1</f>
        <v>95</v>
      </c>
      <c r="B118" s="27"/>
      <c r="C118" s="41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30"/>
      <c r="AL118" s="27"/>
      <c r="AM118" s="27"/>
      <c r="AN118" s="27"/>
      <c r="AO118" s="27"/>
      <c r="AP118" s="61"/>
      <c r="AQ118" s="77"/>
    </row>
    <row r="119" spans="1:43" ht="225">
      <c r="A119" s="78">
        <v>95</v>
      </c>
      <c r="B119" s="19" t="str">
        <f>'[4]4 цех_CapEx'!$B16</f>
        <v>ПС 35/6кВ 2х4000 кВА "Запрудная" -I</v>
      </c>
      <c r="C119" s="32">
        <f>'[4]4 цех_CapEx'!$W16</f>
        <v>1</v>
      </c>
      <c r="D119" s="20">
        <f>IF(D$2='[4]4 цех result'!$C16,'[4]4 цех_CapEx'!F16,0)</f>
        <v>0</v>
      </c>
      <c r="E119" s="20">
        <f>IF(D$2&gt;='[4]4 цех result'!$D16,'[4]4 цех_CapEx'!F16,0)</f>
        <v>0</v>
      </c>
      <c r="F119" s="20" t="str">
        <f>IF(D$2&gt;='[4]4 цех result'!$C16,$AK119,"")</f>
        <v/>
      </c>
      <c r="G119" s="20">
        <f>IF(G$2='[4]4 цех result'!$C16,'[4]4 цех_CapEx'!G16,0)</f>
        <v>0</v>
      </c>
      <c r="H119" s="20">
        <f>IF(G$2&gt;='[4]4 цех result'!$D16,'[4]4 цех_CapEx'!G16,0)</f>
        <v>0</v>
      </c>
      <c r="I119" s="20" t="str">
        <f>IF(G$2&gt;='[4]4 цех result'!$C16,$AK119,"")</f>
        <v/>
      </c>
      <c r="J119" s="20">
        <f>IF(J$2='[4]4 цех result'!$C16,'[4]4 цех_CapEx'!H16,0)</f>
        <v>0</v>
      </c>
      <c r="K119" s="20">
        <f>IF(J$2&gt;='[4]4 цех result'!$D16,'[4]4 цех_CapEx'!H16,0)</f>
        <v>0</v>
      </c>
      <c r="L119" s="20" t="str">
        <f>IF(J$2&gt;='[4]4 цех result'!$C16,$AK119,"")</f>
        <v/>
      </c>
      <c r="M119" s="20">
        <f>IF(M$2='[4]4 цех result'!$C16,'[4]4 цех_CapEx'!I16,0)</f>
        <v>0</v>
      </c>
      <c r="N119" s="20">
        <f>IF(M$2&gt;='[4]4 цех result'!$D16,'[4]4 цех_CapEx'!I16,0)</f>
        <v>0</v>
      </c>
      <c r="O119" s="20" t="str">
        <f>IF(M$2&gt;='[4]4 цех result'!$C16,$AK119,"")</f>
        <v/>
      </c>
      <c r="P119" s="20">
        <f>IF(P$2='[4]4 цех result'!$C16,'[4]4 цех_CapEx'!J16,0)</f>
        <v>6892.9326982297762</v>
      </c>
      <c r="Q119" s="20">
        <f>IF(P$2&gt;='[4]4 цех result'!$D16,'[4]4 цех_CapEx'!J16,0)</f>
        <v>0</v>
      </c>
      <c r="R119" s="20" t="str">
        <f>IF(P$2&gt;='[4]4 цех result'!$C16,$AK119,"")</f>
        <v xml:space="preserve">Установка СВ-35 кВ - 1000 А - 1 шт. и ЛР-35 на ВЛ-35 кВ «УОН». 
Сооружение ОРУ-35 по схеме мостик (35-5Н). Монтаж АВР 6кВ. Строительство ВЛ-35 кВ АС-95 - 12 км. На ВЛ-35 кВ Кривая Лука (МРСК) для автомтаизации упарвления новой ВЛ 35 кВ требуется установка реклоузера. Монтаж АВР-6 кВ     </v>
      </c>
      <c r="S119" s="20">
        <f>IF(S$2='[4]4 цех result'!$C16,'[4]4 цех_CapEx'!K16,0)</f>
        <v>0</v>
      </c>
      <c r="T119" s="20">
        <f>IF(S$2&gt;='[4]4 цех result'!$D16,'[4]4 цех_CapEx'!K16,0)</f>
        <v>0</v>
      </c>
      <c r="U119" s="20" t="str">
        <f>IF(S$2&gt;='[4]4 цех result'!$C16,$AK119,"")</f>
        <v xml:space="preserve">Установка СВ-35 кВ - 1000 А - 1 шт. и ЛР-35 на ВЛ-35 кВ «УОН». 
Сооружение ОРУ-35 по схеме мостик (35-5Н). Монтаж АВР 6кВ. Строительство ВЛ-35 кВ АС-95 - 12 км. На ВЛ-35 кВ Кривая Лука (МРСК) для автомтаизации упарвления новой ВЛ 35 кВ требуется установка реклоузера. Монтаж АВР-6 кВ     </v>
      </c>
      <c r="V119" s="20">
        <f>IF(V$2='[4]4 цех result'!$C16,'[4]4 цех_CapEx'!L16,0)</f>
        <v>0</v>
      </c>
      <c r="W119" s="20">
        <f>IF(V$2&gt;='[4]4 цех result'!$D16,'[4]4 цех_CapEx'!L16,0)</f>
        <v>127981.03262626109</v>
      </c>
      <c r="X119" s="20" t="str">
        <f>IF(V$2&gt;='[4]4 цех result'!$C16,$AK119,"")</f>
        <v xml:space="preserve">Установка СВ-35 кВ - 1000 А - 1 шт. и ЛР-35 на ВЛ-35 кВ «УОН». 
Сооружение ОРУ-35 по схеме мостик (35-5Н). Монтаж АВР 6кВ. Строительство ВЛ-35 кВ АС-95 - 12 км. На ВЛ-35 кВ Кривая Лука (МРСК) для автомтаизации упарвления новой ВЛ 35 кВ требуется установка реклоузера. Монтаж АВР-6 кВ     </v>
      </c>
      <c r="Y119" s="20">
        <f>IF(Y$2='[4]4 цех result'!$C16,'[4]4 цех_CapEx'!M16,0)</f>
        <v>0</v>
      </c>
      <c r="Z119" s="20">
        <f>IF(Y$2&gt;='[4]4 цех result'!$D16,'[4]4 цех_CapEx'!M16,0)</f>
        <v>0</v>
      </c>
      <c r="AA119" s="20" t="str">
        <f>IF(Y$2&gt;='[4]4 цех result'!$C16,$AK119,"")</f>
        <v xml:space="preserve">Установка СВ-35 кВ - 1000 А - 1 шт. и ЛР-35 на ВЛ-35 кВ «УОН». 
Сооружение ОРУ-35 по схеме мостик (35-5Н). Монтаж АВР 6кВ. Строительство ВЛ-35 кВ АС-95 - 12 км. На ВЛ-35 кВ Кривая Лука (МРСК) для автомтаизации упарвления новой ВЛ 35 кВ требуется установка реклоузера. Монтаж АВР-6 кВ     </v>
      </c>
      <c r="AB119" s="20">
        <f>IF(AB$2='[4]4 цех result'!$C16,'[4]4 цех_CapEx'!N16,0)</f>
        <v>0</v>
      </c>
      <c r="AC119" s="20">
        <f>IF(AB$2&gt;='[4]4 цех result'!$D16,'[4]4 цех_CapEx'!N16,0)</f>
        <v>0</v>
      </c>
      <c r="AD119" s="20" t="str">
        <f>IF(AB$2&gt;='[4]4 цех result'!$C16,$AK119,"")</f>
        <v xml:space="preserve">Установка СВ-35 кВ - 1000 А - 1 шт. и ЛР-35 на ВЛ-35 кВ «УОН». 
Сооружение ОРУ-35 по схеме мостик (35-5Н). Монтаж АВР 6кВ. Строительство ВЛ-35 кВ АС-95 - 12 км. На ВЛ-35 кВ Кривая Лука (МРСК) для автомтаизации упарвления новой ВЛ 35 кВ требуется установка реклоузера. Монтаж АВР-6 кВ     </v>
      </c>
      <c r="AE119" s="20">
        <f>IF(AE$2='[4]4 цех result'!$C16,'[4]4 цех_CapEx'!O16,0)</f>
        <v>0</v>
      </c>
      <c r="AF119" s="20">
        <f>IF(AE$2&gt;='[4]4 цех result'!$D16,'[4]4 цех_CapEx'!O16,0)</f>
        <v>0</v>
      </c>
      <c r="AG119" s="20" t="str">
        <f>IF(AE$2&gt;='[4]4 цех result'!$C16,$AK119,"")</f>
        <v xml:space="preserve">Установка СВ-35 кВ - 1000 А - 1 шт. и ЛР-35 на ВЛ-35 кВ «УОН». 
Сооружение ОРУ-35 по схеме мостик (35-5Н). Монтаж АВР 6кВ. Строительство ВЛ-35 кВ АС-95 - 12 км. На ВЛ-35 кВ Кривая Лука (МРСК) для автомтаизации упарвления новой ВЛ 35 кВ требуется установка реклоузера. Монтаж АВР-6 кВ     </v>
      </c>
      <c r="AH119" s="20">
        <f>IF(AH$2='[4]4 цех result'!$C16,'[4]4 цех_CapEx'!P16,0)</f>
        <v>0</v>
      </c>
      <c r="AI119" s="20">
        <f>IF(AH$2&gt;='[4]4 цех result'!$D16,'[4]4 цех_CapEx'!P16,0)</f>
        <v>0</v>
      </c>
      <c r="AJ119" s="20" t="str">
        <f>IF(AH$2&gt;='[4]4 цех result'!$C16,$AK119,"")</f>
        <v xml:space="preserve">Установка СВ-35 кВ - 1000 А - 1 шт. и ЛР-35 на ВЛ-35 кВ «УОН». 
Сооружение ОРУ-35 по схеме мостик (35-5Н). Монтаж АВР 6кВ. Строительство ВЛ-35 кВ АС-95 - 12 км. На ВЛ-35 кВ Кривая Лука (МРСК) для автомтаизации упарвления новой ВЛ 35 кВ требуется установка реклоузера. Монтаж АВР-6 кВ     </v>
      </c>
      <c r="AK119" s="12" t="s">
        <v>118</v>
      </c>
      <c r="AL119" s="19"/>
      <c r="AM119" s="71">
        <f>SUM(D119:AJ119)</f>
        <v>134873.96532449085</v>
      </c>
      <c r="AN119" s="71">
        <f>'[4]4 цех_CapEx'!$V16</f>
        <v>134873.96532449085</v>
      </c>
      <c r="AO119" s="71">
        <f>AM119-AN119</f>
        <v>0</v>
      </c>
      <c r="AP119" s="275" t="s">
        <v>246</v>
      </c>
      <c r="AQ119" s="274" t="s">
        <v>242</v>
      </c>
    </row>
    <row r="120" spans="1:43" ht="60">
      <c r="A120" s="78">
        <v>96</v>
      </c>
      <c r="B120" s="19" t="str">
        <f>'[4]4 цех_CapEx'!$B17</f>
        <v>ПС 35/6кВ 2х4000 кВА "Запрудная" -I</v>
      </c>
      <c r="C120" s="32">
        <f>'[4]4 цех_CapEx'!$W17</f>
        <v>1</v>
      </c>
      <c r="D120" s="20">
        <f>IF(D$2='[4]4 цех result'!$C17,'[4]4 цех_CapEx'!F17,0)</f>
        <v>0</v>
      </c>
      <c r="E120" s="20">
        <f>IF(D$2&gt;='[4]4 цех result'!$D17,'[4]4 цех_CapEx'!F17,0)</f>
        <v>0</v>
      </c>
      <c r="F120" s="20" t="str">
        <f>IF(D$2&gt;='[4]4 цех result'!$C17,$AK120,"")</f>
        <v/>
      </c>
      <c r="G120" s="20">
        <f>IF(G$2='[4]4 цех result'!$C17,'[4]4 цех_CapEx'!G17,0)</f>
        <v>0</v>
      </c>
      <c r="H120" s="20">
        <f>IF(G$2&gt;='[4]4 цех result'!$D17,'[4]4 цех_CapEx'!G17,0)</f>
        <v>0</v>
      </c>
      <c r="I120" s="20" t="str">
        <f>IF(G$2&gt;='[4]4 цех result'!$C17,$AK120,"")</f>
        <v/>
      </c>
      <c r="J120" s="20">
        <f>IF(J$2='[4]4 цех result'!$C17,'[4]4 цех_CapEx'!H17,0)</f>
        <v>0</v>
      </c>
      <c r="K120" s="20">
        <f>IF(J$2&gt;='[4]4 цех result'!$D17,'[4]4 цех_CapEx'!H17,0)</f>
        <v>0</v>
      </c>
      <c r="L120" s="20" t="str">
        <f>IF(J$2&gt;='[4]4 цех result'!$C17,$AK120,"")</f>
        <v/>
      </c>
      <c r="M120" s="20">
        <f>IF(M$2='[4]4 цех result'!$C17,'[4]4 цех_CapEx'!I17,0)</f>
        <v>0</v>
      </c>
      <c r="N120" s="20">
        <f>IF(M$2&gt;='[4]4 цех result'!$D17,'[4]4 цех_CapEx'!I17,0)</f>
        <v>0</v>
      </c>
      <c r="O120" s="20" t="str">
        <f>IF(M$2&gt;='[4]4 цех result'!$C17,$AK120,"")</f>
        <v/>
      </c>
      <c r="P120" s="20">
        <f>IF(P$2='[4]4 цех result'!$C17,'[4]4 цех_CapEx'!J17,0)</f>
        <v>1775.0205078757888</v>
      </c>
      <c r="Q120" s="20">
        <f>IF(P$2&gt;='[4]4 цех result'!$D17,'[4]4 цех_CapEx'!J17,0)</f>
        <v>0</v>
      </c>
      <c r="R120" s="20" t="str">
        <f>IF(P$2&gt;='[4]4 цех result'!$C17,$AK120,"")</f>
        <v>Замена: МВ на ВВ-35 кВ - 1000 А -2 шт., СТ 35/6 кВ- 4000 кВА - 2 шт.,</v>
      </c>
      <c r="S120" s="20">
        <f>IF(S$2='[4]4 цех result'!$C17,'[4]4 цех_CapEx'!K17,0)</f>
        <v>0</v>
      </c>
      <c r="T120" s="20">
        <f>IF(S$2&gt;='[4]4 цех result'!$D17,'[4]4 цех_CapEx'!K17,0)</f>
        <v>60548.907891156276</v>
      </c>
      <c r="U120" s="20" t="str">
        <f>IF(S$2&gt;='[4]4 цех result'!$C17,$AK120,"")</f>
        <v>Замена: МВ на ВВ-35 кВ - 1000 А -2 шт., СТ 35/6 кВ- 4000 кВА - 2 шт.,</v>
      </c>
      <c r="V120" s="20">
        <f>IF(V$2='[4]4 цех result'!$C17,'[4]4 цех_CapEx'!L17,0)</f>
        <v>0</v>
      </c>
      <c r="W120" s="20">
        <f>IF(V$2&gt;='[4]4 цех result'!$D17,'[4]4 цех_CapEx'!L17,0)</f>
        <v>0</v>
      </c>
      <c r="X120" s="20" t="str">
        <f>IF(V$2&gt;='[4]4 цех result'!$C17,$AK120,"")</f>
        <v>Замена: МВ на ВВ-35 кВ - 1000 А -2 шт., СТ 35/6 кВ- 4000 кВА - 2 шт.,</v>
      </c>
      <c r="Y120" s="20">
        <f>IF(Y$2='[4]4 цех result'!$C17,'[4]4 цех_CapEx'!M17,0)</f>
        <v>0</v>
      </c>
      <c r="Z120" s="20">
        <f>IF(Y$2&gt;='[4]4 цех result'!$D17,'[4]4 цех_CapEx'!M17,0)</f>
        <v>0</v>
      </c>
      <c r="AA120" s="20" t="str">
        <f>IF(Y$2&gt;='[4]4 цех result'!$C17,$AK120,"")</f>
        <v>Замена: МВ на ВВ-35 кВ - 1000 А -2 шт., СТ 35/6 кВ- 4000 кВА - 2 шт.,</v>
      </c>
      <c r="AB120" s="20">
        <f>IF(AB$2='[4]4 цех result'!$C17,'[4]4 цех_CapEx'!N17,0)</f>
        <v>0</v>
      </c>
      <c r="AC120" s="20">
        <f>IF(AB$2&gt;='[4]4 цех result'!$D17,'[4]4 цех_CapEx'!N17,0)</f>
        <v>0</v>
      </c>
      <c r="AD120" s="20" t="str">
        <f>IF(AB$2&gt;='[4]4 цех result'!$C17,$AK120,"")</f>
        <v>Замена: МВ на ВВ-35 кВ - 1000 А -2 шт., СТ 35/6 кВ- 4000 кВА - 2 шт.,</v>
      </c>
      <c r="AE120" s="20">
        <f>IF(AE$2='[4]4 цех result'!$C17,'[4]4 цех_CapEx'!O17,0)</f>
        <v>0</v>
      </c>
      <c r="AF120" s="20">
        <f>IF(AE$2&gt;='[4]4 цех result'!$D17,'[4]4 цех_CapEx'!O17,0)</f>
        <v>0</v>
      </c>
      <c r="AG120" s="20" t="str">
        <f>IF(AE$2&gt;='[4]4 цех result'!$C17,$AK120,"")</f>
        <v>Замена: МВ на ВВ-35 кВ - 1000 А -2 шт., СТ 35/6 кВ- 4000 кВА - 2 шт.,</v>
      </c>
      <c r="AH120" s="20">
        <f>IF(AH$2='[4]4 цех result'!$C17,'[4]4 цех_CapEx'!P17,0)</f>
        <v>0</v>
      </c>
      <c r="AI120" s="20">
        <f>IF(AH$2&gt;='[4]4 цех result'!$D17,'[4]4 цех_CapEx'!P17,0)</f>
        <v>0</v>
      </c>
      <c r="AJ120" s="20" t="str">
        <f>IF(AH$2&gt;='[4]4 цех result'!$C17,$AK120,"")</f>
        <v>Замена: МВ на ВВ-35 кВ - 1000 А -2 шт., СТ 35/6 кВ- 4000 кВА - 2 шт.,</v>
      </c>
      <c r="AK120" s="12" t="s">
        <v>117</v>
      </c>
      <c r="AL120" s="19"/>
      <c r="AM120" s="71">
        <f>SUM(D120:AJ120)</f>
        <v>62323.928399032062</v>
      </c>
      <c r="AN120" s="71">
        <f>'[4]4 цех_CapEx'!$V17</f>
        <v>62323.928399032062</v>
      </c>
      <c r="AO120" s="71">
        <f>AM120-AN120</f>
        <v>0</v>
      </c>
      <c r="AP120" s="275"/>
      <c r="AQ120" s="274"/>
    </row>
    <row r="121" spans="1:43" s="38" customFormat="1" hidden="1">
      <c r="A121" s="78">
        <f>A120+1</f>
        <v>97</v>
      </c>
      <c r="B121" s="27" t="s">
        <v>37</v>
      </c>
      <c r="C121" s="41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30"/>
      <c r="AL121" s="27"/>
      <c r="AM121" s="27"/>
      <c r="AN121" s="27"/>
      <c r="AO121" s="27"/>
      <c r="AP121" s="61"/>
      <c r="AQ121" s="77"/>
    </row>
    <row r="122" spans="1:43" ht="135">
      <c r="A122" s="78">
        <v>97</v>
      </c>
      <c r="B122" s="19" t="str">
        <f>'[4]4 цех_CapEx'!$B23</f>
        <v>ПС 35/6кВ 1*3150кВа "Стрельная"</v>
      </c>
      <c r="C122" s="32">
        <f>'[4]4 цех_CapEx'!$W23</f>
        <v>1</v>
      </c>
      <c r="D122" s="20">
        <f>IF(D$2='[4]4 цех result'!$C23,'[4]4 цех_CapEx'!F23,0)</f>
        <v>0</v>
      </c>
      <c r="E122" s="20">
        <f>IF(D$2&gt;='[4]4 цех result'!$D23,'[4]4 цех_CapEx'!F23,0)</f>
        <v>0</v>
      </c>
      <c r="F122" s="20" t="str">
        <f>IF(D$2&gt;='[4]4 цех result'!$C23,$AK122,"")</f>
        <v/>
      </c>
      <c r="G122" s="20">
        <f>IF(G$2='[4]4 цех result'!$C23,'[4]4 цех_CapEx'!G23,0)</f>
        <v>0</v>
      </c>
      <c r="H122" s="20">
        <f>IF(G$2&gt;='[4]4 цех result'!$D23,'[4]4 цех_CapEx'!G23,0)</f>
        <v>0</v>
      </c>
      <c r="I122" s="20" t="str">
        <f>IF(G$2&gt;='[4]4 цех result'!$C23,$AK122,"")</f>
        <v/>
      </c>
      <c r="J122" s="20">
        <f>IF(J$2='[4]4 цех result'!$C23,'[4]4 цех_CapEx'!H23,0)</f>
        <v>0</v>
      </c>
      <c r="K122" s="20">
        <f>IF(J$2&gt;='[4]4 цех result'!$D23,'[4]4 цех_CapEx'!H23,0)</f>
        <v>0</v>
      </c>
      <c r="L122" s="20" t="str">
        <f>IF(J$2&gt;='[4]4 цех result'!$C23,$AK122,"")</f>
        <v/>
      </c>
      <c r="M122" s="20">
        <f>IF(M$2='[4]4 цех result'!$C23,'[4]4 цех_CapEx'!I23,0)</f>
        <v>0</v>
      </c>
      <c r="N122" s="20">
        <f>IF(M$2&gt;='[4]4 цех result'!$D23,'[4]4 цех_CapEx'!I23,0)</f>
        <v>0</v>
      </c>
      <c r="O122" s="20" t="str">
        <f>IF(M$2&gt;='[4]4 цех result'!$C23,$AK122,"")</f>
        <v/>
      </c>
      <c r="P122" s="20">
        <f>IF(P$2='[4]4 цех result'!$C23,'[4]4 цех_CapEx'!J23,0)</f>
        <v>4421.1993572617675</v>
      </c>
      <c r="Q122" s="20">
        <f>IF(P$2&gt;='[4]4 цех result'!$D23,'[4]4 цех_CapEx'!J23,0)</f>
        <v>0</v>
      </c>
      <c r="R122" s="20" t="str">
        <f>IF(P$2&gt;='[4]4 цех result'!$C23,$AK122,"")</f>
        <v xml:space="preserve">
Замена существующего и установка второго СТ 35/6 кВ 4000 кВА - 2 шт.. 
Строительство ВЛ 35 кВ - АС-95 - 6,5 км
Монтаж АВР 6кВ.</v>
      </c>
      <c r="S122" s="20">
        <f>IF(S$2='[4]4 цех result'!$C23,'[4]4 цех_CapEx'!K23,0)</f>
        <v>0</v>
      </c>
      <c r="T122" s="20">
        <f>IF(S$2&gt;='[4]4 цех result'!$D23,'[4]4 цех_CapEx'!K23,0)</f>
        <v>112073.5465670494</v>
      </c>
      <c r="U122" s="20" t="str">
        <f>IF(S$2&gt;='[4]4 цех result'!$C23,$AK122,"")</f>
        <v xml:space="preserve">
Замена существующего и установка второго СТ 35/6 кВ 4000 кВА - 2 шт.. 
Строительство ВЛ 35 кВ - АС-95 - 6,5 км
Монтаж АВР 6кВ.</v>
      </c>
      <c r="V122" s="20">
        <f>IF(V$2='[4]4 цех result'!$C23,'[4]4 цех_CapEx'!L23,0)</f>
        <v>0</v>
      </c>
      <c r="W122" s="20">
        <f>IF(V$2&gt;='[4]4 цех result'!$D23,'[4]4 цех_CapEx'!L23,0)</f>
        <v>0</v>
      </c>
      <c r="X122" s="20" t="str">
        <f>IF(V$2&gt;='[4]4 цех result'!$C23,$AK122,"")</f>
        <v xml:space="preserve">
Замена существующего и установка второго СТ 35/6 кВ 4000 кВА - 2 шт.. 
Строительство ВЛ 35 кВ - АС-95 - 6,5 км
Монтаж АВР 6кВ.</v>
      </c>
      <c r="Y122" s="20">
        <f>IF(Y$2='[4]4 цех result'!$C23,'[4]4 цех_CapEx'!M23,0)</f>
        <v>0</v>
      </c>
      <c r="Z122" s="20">
        <f>IF(Y$2&gt;='[4]4 цех result'!$D23,'[4]4 цех_CapEx'!M23,0)</f>
        <v>0</v>
      </c>
      <c r="AA122" s="20" t="str">
        <f>IF(Y$2&gt;='[4]4 цех result'!$C23,$AK122,"")</f>
        <v xml:space="preserve">
Замена существующего и установка второго СТ 35/6 кВ 4000 кВА - 2 шт.. 
Строительство ВЛ 35 кВ - АС-95 - 6,5 км
Монтаж АВР 6кВ.</v>
      </c>
      <c r="AB122" s="20">
        <f>IF(AB$2='[4]4 цех result'!$C23,'[4]4 цех_CapEx'!N23,0)</f>
        <v>0</v>
      </c>
      <c r="AC122" s="20">
        <f>IF(AB$2&gt;='[4]4 цех result'!$D23,'[4]4 цех_CapEx'!N23,0)</f>
        <v>0</v>
      </c>
      <c r="AD122" s="20" t="str">
        <f>IF(AB$2&gt;='[4]4 цех result'!$C23,$AK122,"")</f>
        <v xml:space="preserve">
Замена существующего и установка второго СТ 35/6 кВ 4000 кВА - 2 шт.. 
Строительство ВЛ 35 кВ - АС-95 - 6,5 км
Монтаж АВР 6кВ.</v>
      </c>
      <c r="AE122" s="20">
        <f>IF(AE$2='[4]4 цех result'!$C23,'[4]4 цех_CapEx'!O23,0)</f>
        <v>0</v>
      </c>
      <c r="AF122" s="20">
        <f>IF(AE$2&gt;='[4]4 цех result'!$D23,'[4]4 цех_CapEx'!O23,0)</f>
        <v>0</v>
      </c>
      <c r="AG122" s="20" t="str">
        <f>IF(AE$2&gt;='[4]4 цех result'!$C23,$AK122,"")</f>
        <v xml:space="preserve">
Замена существующего и установка второго СТ 35/6 кВ 4000 кВА - 2 шт.. 
Строительство ВЛ 35 кВ - АС-95 - 6,5 км
Монтаж АВР 6кВ.</v>
      </c>
      <c r="AH122" s="20">
        <f>IF(AH$2='[4]4 цех result'!$C23,'[4]4 цех_CapEx'!P23,0)</f>
        <v>0</v>
      </c>
      <c r="AI122" s="20">
        <f>IF(AH$2&gt;='[4]4 цех result'!$D23,'[4]4 цех_CapEx'!P23,0)</f>
        <v>0</v>
      </c>
      <c r="AJ122" s="20" t="str">
        <f>IF(AH$2&gt;='[4]4 цех result'!$C23,$AK122,"")</f>
        <v xml:space="preserve">
Замена существующего и установка второго СТ 35/6 кВ 4000 кВА - 2 шт.. 
Строительство ВЛ 35 кВ - АС-95 - 6,5 км
Монтаж АВР 6кВ.</v>
      </c>
      <c r="AK122" s="12" t="s">
        <v>124</v>
      </c>
      <c r="AL122" s="19"/>
      <c r="AM122" s="71">
        <f>SUM(D122:AJ122)</f>
        <v>116494.74592431117</v>
      </c>
      <c r="AN122" s="71">
        <f>'[4]4 цех_CapEx'!$V23</f>
        <v>116494.74592431117</v>
      </c>
      <c r="AO122" s="71">
        <f>AM122-AN122</f>
        <v>0</v>
      </c>
      <c r="AP122" s="57" t="s">
        <v>244</v>
      </c>
      <c r="AQ122" s="81" t="s">
        <v>242</v>
      </c>
    </row>
    <row r="123" spans="1:43" s="38" customFormat="1" hidden="1">
      <c r="A123" s="78">
        <f>A122+1</f>
        <v>98</v>
      </c>
      <c r="B123" s="27"/>
      <c r="C123" s="41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30"/>
      <c r="AL123" s="27"/>
      <c r="AM123" s="27"/>
      <c r="AN123" s="27"/>
      <c r="AO123" s="27"/>
      <c r="AP123" s="61"/>
      <c r="AQ123" s="77"/>
    </row>
    <row r="124" spans="1:43" ht="30">
      <c r="A124" s="78">
        <v>98</v>
      </c>
      <c r="B124" s="19" t="str">
        <f>'[4]4 цех_CapEx'!$B25</f>
        <v>ПС 110/35/6 кВ "Красноярская"</v>
      </c>
      <c r="C124" s="32">
        <f>'[4]4 цех_CapEx'!$W25</f>
        <v>1</v>
      </c>
      <c r="D124" s="20">
        <f>IF(D$2='[4]4 цех result'!$C25,'[4]4 цех_CapEx'!F25,0)</f>
        <v>0</v>
      </c>
      <c r="E124" s="20">
        <f>IF(D$2&gt;='[4]4 цех result'!$D25,'[4]4 цех_CapEx'!F25,0)</f>
        <v>0</v>
      </c>
      <c r="F124" s="20" t="str">
        <f>IF(D$2&gt;='[4]4 цех result'!$C25,$AK124,"")</f>
        <v/>
      </c>
      <c r="G124" s="20">
        <f>IF(G$2='[4]4 цех result'!$C25,'[4]4 цех_CapEx'!G25,0)</f>
        <v>0</v>
      </c>
      <c r="H124" s="20">
        <f>IF(G$2&gt;='[4]4 цех result'!$D25,'[4]4 цех_CapEx'!G25,0)</f>
        <v>0</v>
      </c>
      <c r="I124" s="20" t="str">
        <f>IF(G$2&gt;='[4]4 цех result'!$C25,$AK124,"")</f>
        <v/>
      </c>
      <c r="J124" s="20">
        <f>IF(J$2='[4]4 цех result'!$C25,'[4]4 цех_CapEx'!H25,0)</f>
        <v>0</v>
      </c>
      <c r="K124" s="20">
        <f>IF(J$2&gt;='[4]4 цех result'!$D25,'[4]4 цех_CapEx'!H25,0)</f>
        <v>0</v>
      </c>
      <c r="L124" s="20" t="str">
        <f>IF(J$2&gt;='[4]4 цех result'!$C25,$AK124,"")</f>
        <v/>
      </c>
      <c r="M124" s="20">
        <f>IF(M$2='[4]4 цех result'!$C25,'[4]4 цех_CapEx'!I25,0)</f>
        <v>6290.6553090616708</v>
      </c>
      <c r="N124" s="20">
        <f>IF(M$2&gt;='[4]4 цех result'!$D25,'[4]4 цех_CapEx'!I25,0)</f>
        <v>0</v>
      </c>
      <c r="O124" s="20" t="str">
        <f>IF(M$2&gt;='[4]4 цех result'!$C25,$AK124,"")</f>
        <v>Замена СТ 110/35/6 кВ 40 000 кВА - 2 шт</v>
      </c>
      <c r="P124" s="20">
        <f>IF(P$2='[4]4 цех result'!$C25,'[4]4 цех_CapEx'!J25,0)</f>
        <v>0</v>
      </c>
      <c r="Q124" s="20">
        <f>IF(P$2&gt;='[4]4 цех result'!$D25,'[4]4 цех_CapEx'!J25,0)</f>
        <v>216008.52200255968</v>
      </c>
      <c r="R124" s="20" t="str">
        <f>IF(P$2&gt;='[4]4 цех result'!$C25,$AK124,"")</f>
        <v>Замена СТ 110/35/6 кВ 40 000 кВА - 2 шт</v>
      </c>
      <c r="S124" s="20">
        <f>IF(S$2='[4]4 цех result'!$C25,'[4]4 цех_CapEx'!K25,0)</f>
        <v>0</v>
      </c>
      <c r="T124" s="20">
        <f>IF(S$2&gt;='[4]4 цех result'!$D25,'[4]4 цех_CapEx'!K25,0)</f>
        <v>0</v>
      </c>
      <c r="U124" s="20" t="str">
        <f>IF(S$2&gt;='[4]4 цех result'!$C25,$AK124,"")</f>
        <v>Замена СТ 110/35/6 кВ 40 000 кВА - 2 шт</v>
      </c>
      <c r="V124" s="20">
        <f>IF(V$2='[4]4 цех result'!$C25,'[4]4 цех_CapEx'!L25,0)</f>
        <v>0</v>
      </c>
      <c r="W124" s="20">
        <f>IF(V$2&gt;='[4]4 цех result'!$D25,'[4]4 цех_CapEx'!L25,0)</f>
        <v>0</v>
      </c>
      <c r="X124" s="20" t="str">
        <f>IF(V$2&gt;='[4]4 цех result'!$C25,$AK124,"")</f>
        <v>Замена СТ 110/35/6 кВ 40 000 кВА - 2 шт</v>
      </c>
      <c r="Y124" s="20">
        <f>IF(Y$2='[4]4 цех result'!$C25,'[4]4 цех_CapEx'!M25,0)</f>
        <v>0</v>
      </c>
      <c r="Z124" s="20">
        <f>IF(Y$2&gt;='[4]4 цех result'!$D25,'[4]4 цех_CapEx'!M25,0)</f>
        <v>0</v>
      </c>
      <c r="AA124" s="20" t="str">
        <f>IF(Y$2&gt;='[4]4 цех result'!$C25,$AK124,"")</f>
        <v>Замена СТ 110/35/6 кВ 40 000 кВА - 2 шт</v>
      </c>
      <c r="AB124" s="20">
        <f>IF(AB$2='[4]4 цех result'!$C25,'[4]4 цех_CapEx'!N25,0)</f>
        <v>0</v>
      </c>
      <c r="AC124" s="20">
        <f>IF(AB$2&gt;='[4]4 цех result'!$D25,'[4]4 цех_CapEx'!N25,0)</f>
        <v>0</v>
      </c>
      <c r="AD124" s="20" t="str">
        <f>IF(AB$2&gt;='[4]4 цех result'!$C25,$AK124,"")</f>
        <v>Замена СТ 110/35/6 кВ 40 000 кВА - 2 шт</v>
      </c>
      <c r="AE124" s="20">
        <f>IF(AE$2='[4]4 цех result'!$C25,'[4]4 цех_CapEx'!O25,0)</f>
        <v>0</v>
      </c>
      <c r="AF124" s="20">
        <f>IF(AE$2&gt;='[4]4 цех result'!$D25,'[4]4 цех_CapEx'!O25,0)</f>
        <v>0</v>
      </c>
      <c r="AG124" s="20" t="str">
        <f>IF(AE$2&gt;='[4]4 цех result'!$C25,$AK124,"")</f>
        <v>Замена СТ 110/35/6 кВ 40 000 кВА - 2 шт</v>
      </c>
      <c r="AH124" s="20">
        <f>IF(AH$2='[4]4 цех result'!$C25,'[4]4 цех_CapEx'!P25,0)</f>
        <v>0</v>
      </c>
      <c r="AI124" s="20">
        <f>IF(AH$2&gt;='[4]4 цех result'!$D25,'[4]4 цех_CapEx'!P25,0)</f>
        <v>0</v>
      </c>
      <c r="AJ124" s="20" t="str">
        <f>IF(AH$2&gt;='[4]4 цех result'!$C25,$AK124,"")</f>
        <v>Замена СТ 110/35/6 кВ 40 000 кВА - 2 шт</v>
      </c>
      <c r="AK124" s="12" t="s">
        <v>126</v>
      </c>
      <c r="AL124" s="19"/>
      <c r="AM124" s="71">
        <f>SUM(D124:AJ124)</f>
        <v>222299.17731162134</v>
      </c>
      <c r="AN124" s="71">
        <f>'[4]4 цех_CapEx'!$V25</f>
        <v>222299.17731162134</v>
      </c>
      <c r="AO124" s="71">
        <f>AM124-AN124</f>
        <v>0</v>
      </c>
      <c r="AP124" s="57" t="s">
        <v>247</v>
      </c>
      <c r="AQ124" s="81" t="s">
        <v>242</v>
      </c>
    </row>
    <row r="125" spans="1:43" ht="30">
      <c r="A125" s="78">
        <v>99</v>
      </c>
      <c r="B125" s="19" t="str">
        <f>'[4]4 цех_CapEx'!$B26</f>
        <v>ПС 35/6кВ 2*4000кВа "Ветлянка"</v>
      </c>
      <c r="C125" s="32">
        <f>'[4]4 цех_CapEx'!$W26</f>
        <v>1</v>
      </c>
      <c r="D125" s="20">
        <f>IF(D$2='[4]4 цех result'!$C26,'[4]4 цех_CapEx'!F26,0)</f>
        <v>0</v>
      </c>
      <c r="E125" s="20">
        <f>IF(D$2&gt;='[4]4 цех result'!$D26,'[4]4 цех_CapEx'!F26,0)</f>
        <v>0</v>
      </c>
      <c r="F125" s="20" t="str">
        <f>IF(D$2&gt;='[4]4 цех result'!$C26,$AK125,"")</f>
        <v/>
      </c>
      <c r="G125" s="20">
        <f>IF(G$2='[4]4 цех result'!$C26,'[4]4 цех_CapEx'!G26,0)</f>
        <v>0</v>
      </c>
      <c r="H125" s="20">
        <f>IF(G$2&gt;='[4]4 цех result'!$D26,'[4]4 цех_CapEx'!G26,0)</f>
        <v>0</v>
      </c>
      <c r="I125" s="20" t="str">
        <f>IF(G$2&gt;='[4]4 цех result'!$C26,$AK125,"")</f>
        <v/>
      </c>
      <c r="J125" s="20">
        <f>IF(J$2='[4]4 цех result'!$C26,'[4]4 цех_CapEx'!H26,0)</f>
        <v>0</v>
      </c>
      <c r="K125" s="20">
        <f>IF(J$2&gt;='[4]4 цех result'!$D26,'[4]4 цех_CapEx'!H26,0)</f>
        <v>0</v>
      </c>
      <c r="L125" s="20" t="str">
        <f>IF(J$2&gt;='[4]4 цех result'!$C26,$AK125,"")</f>
        <v/>
      </c>
      <c r="M125" s="20">
        <f>IF(M$2='[4]4 цех result'!$C26,'[4]4 цех_CapEx'!I26,0)</f>
        <v>0</v>
      </c>
      <c r="N125" s="20">
        <f>IF(M$2&gt;='[4]4 цех result'!$D26,'[4]4 цех_CapEx'!I26,0)</f>
        <v>0</v>
      </c>
      <c r="O125" s="20" t="str">
        <f>IF(M$2&gt;='[4]4 цех result'!$C26,$AK125,"")</f>
        <v/>
      </c>
      <c r="P125" s="20">
        <f>IF(P$2='[4]4 цех result'!$C26,'[4]4 цех_CapEx'!J26,0)</f>
        <v>0</v>
      </c>
      <c r="Q125" s="20">
        <f>IF(P$2&gt;='[4]4 цех result'!$D26,'[4]4 цех_CapEx'!J26,0)</f>
        <v>0</v>
      </c>
      <c r="R125" s="20" t="str">
        <f>IF(P$2&gt;='[4]4 цех result'!$C26,$AK125,"")</f>
        <v/>
      </c>
      <c r="S125" s="20">
        <f>IF(S$2='[4]4 цех result'!$C26,'[4]4 цех_CapEx'!K26,0)</f>
        <v>0</v>
      </c>
      <c r="T125" s="20">
        <f>IF(S$2&gt;='[4]4 цех result'!$D26,'[4]4 цех_CapEx'!K26,0)</f>
        <v>0</v>
      </c>
      <c r="U125" s="20" t="str">
        <f>IF(S$2&gt;='[4]4 цех result'!$C26,$AK125,"")</f>
        <v/>
      </c>
      <c r="V125" s="20">
        <f>IF(V$2='[4]4 цех result'!$C26,'[4]4 цех_CapEx'!L26,0)</f>
        <v>0</v>
      </c>
      <c r="W125" s="20">
        <f>IF(V$2&gt;='[4]4 цех result'!$D26,'[4]4 цех_CapEx'!L26,0)</f>
        <v>0</v>
      </c>
      <c r="X125" s="20" t="str">
        <f>IF(V$2&gt;='[4]4 цех result'!$C26,$AK125,"")</f>
        <v/>
      </c>
      <c r="Y125" s="20">
        <f>IF(Y$2='[4]4 цех result'!$C26,'[4]4 цех_CapEx'!M26,0)</f>
        <v>0</v>
      </c>
      <c r="Z125" s="20">
        <f>IF(Y$2&gt;='[4]4 цех result'!$D26,'[4]4 цех_CapEx'!M26,0)</f>
        <v>0</v>
      </c>
      <c r="AA125" s="20" t="str">
        <f>IF(Y$2&gt;='[4]4 цех result'!$C26,$AK125,"")</f>
        <v/>
      </c>
      <c r="AB125" s="20">
        <f>IF(AB$2='[4]4 цех result'!$C26,'[4]4 цех_CapEx'!N26,0)</f>
        <v>0</v>
      </c>
      <c r="AC125" s="20">
        <f>IF(AB$2&gt;='[4]4 цех result'!$D26,'[4]4 цех_CapEx'!N26,0)</f>
        <v>0</v>
      </c>
      <c r="AD125" s="20" t="str">
        <f>IF(AB$2&gt;='[4]4 цех result'!$C26,$AK125,"")</f>
        <v/>
      </c>
      <c r="AE125" s="20">
        <f>IF(AE$2='[4]4 цех result'!$C26,'[4]4 цех_CapEx'!O26,0)</f>
        <v>116.47571274059727</v>
      </c>
      <c r="AF125" s="20">
        <f>IF(AE$2&gt;='[4]4 цех result'!$D26,'[4]4 цех_CapEx'!O26,0)</f>
        <v>0</v>
      </c>
      <c r="AG125" s="20" t="str">
        <f>IF(AE$2&gt;='[4]4 цех result'!$C26,$AK125,"")</f>
        <v>Дистанционное управление  В-6кВ Т-1-Т</v>
      </c>
      <c r="AH125" s="20">
        <f>IF(AH$2='[4]4 цех result'!$C26,'[4]4 цех_CapEx'!P26,0)</f>
        <v>0</v>
      </c>
      <c r="AI125" s="20">
        <f>IF(AH$2&gt;='[4]4 цех result'!$D26,'[4]4 цех_CapEx'!P26,0)</f>
        <v>3909.1578709999253</v>
      </c>
      <c r="AJ125" s="20" t="str">
        <f>IF(AH$2&gt;='[4]4 цех result'!$C26,$AK125,"")</f>
        <v>Дистанционное управление  В-6кВ Т-1-Т</v>
      </c>
      <c r="AK125" s="12" t="s">
        <v>127</v>
      </c>
      <c r="AL125" s="19"/>
      <c r="AM125" s="71">
        <f>SUM(D125:AJ125)</f>
        <v>4025.6335837405227</v>
      </c>
      <c r="AN125" s="71">
        <f>'[4]4 цех_CapEx'!$V26</f>
        <v>4025.6335837405227</v>
      </c>
      <c r="AO125" s="71">
        <f>AM125-AN125</f>
        <v>0</v>
      </c>
      <c r="AP125" s="57" t="s">
        <v>248</v>
      </c>
      <c r="AQ125" s="81" t="s">
        <v>242</v>
      </c>
    </row>
    <row r="126" spans="1:43" ht="45">
      <c r="A126" s="78">
        <v>100</v>
      </c>
      <c r="B126" s="19" t="str">
        <f>'[4]4 цех_CapEx'!$B27</f>
        <v>ПС 35/6кВ 2х6300кВА "Киндяково"</v>
      </c>
      <c r="C126" s="32">
        <f>'[4]4 цех_CapEx'!$W27</f>
        <v>1</v>
      </c>
      <c r="D126" s="20">
        <f>IF(D$2='[4]4 цех result'!$C27,'[4]4 цех_CapEx'!F27,0)</f>
        <v>0</v>
      </c>
      <c r="E126" s="20">
        <f>IF(D$2&gt;='[4]4 цех result'!$D27,'[4]4 цех_CapEx'!F27,0)</f>
        <v>0</v>
      </c>
      <c r="F126" s="20" t="str">
        <f>IF(D$2&gt;='[4]4 цех result'!$C27,$AK126,"")</f>
        <v/>
      </c>
      <c r="G126" s="20">
        <f>IF(G$2='[4]4 цех result'!$C27,'[4]4 цех_CapEx'!G27,0)</f>
        <v>0</v>
      </c>
      <c r="H126" s="20">
        <f>IF(G$2&gt;='[4]4 цех result'!$D27,'[4]4 цех_CapEx'!G27,0)</f>
        <v>0</v>
      </c>
      <c r="I126" s="20" t="str">
        <f>IF(G$2&gt;='[4]4 цех result'!$C27,$AK126,"")</f>
        <v/>
      </c>
      <c r="J126" s="20">
        <f>IF(J$2='[4]4 цех result'!$C27,'[4]4 цех_CapEx'!H27,0)</f>
        <v>0</v>
      </c>
      <c r="K126" s="20">
        <f>IF(J$2&gt;='[4]4 цех result'!$D27,'[4]4 цех_CapEx'!H27,0)</f>
        <v>0</v>
      </c>
      <c r="L126" s="20" t="str">
        <f>IF(J$2&gt;='[4]4 цех result'!$C27,$AK126,"")</f>
        <v/>
      </c>
      <c r="M126" s="20">
        <f>IF(M$2='[4]4 цех result'!$C27,'[4]4 цех_CapEx'!I27,0)</f>
        <v>0</v>
      </c>
      <c r="N126" s="20">
        <f>IF(M$2&gt;='[4]4 цех result'!$D27,'[4]4 цех_CapEx'!I27,0)</f>
        <v>0</v>
      </c>
      <c r="O126" s="20" t="str">
        <f>IF(M$2&gt;='[4]4 цех result'!$C27,$AK126,"")</f>
        <v/>
      </c>
      <c r="P126" s="20">
        <f>IF(P$2='[4]4 цех result'!$C27,'[4]4 цех_CapEx'!J27,0)</f>
        <v>0</v>
      </c>
      <c r="Q126" s="20">
        <f>IF(P$2&gt;='[4]4 цех result'!$D27,'[4]4 цех_CapEx'!J27,0)</f>
        <v>0</v>
      </c>
      <c r="R126" s="20" t="str">
        <f>IF(P$2&gt;='[4]4 цех result'!$C27,$AK126,"")</f>
        <v/>
      </c>
      <c r="S126" s="20">
        <f>IF(S$2='[4]4 цех result'!$C27,'[4]4 цех_CapEx'!K27,0)</f>
        <v>0</v>
      </c>
      <c r="T126" s="20">
        <f>IF(S$2&gt;='[4]4 цех result'!$D27,'[4]4 цех_CapEx'!K27,0)</f>
        <v>0</v>
      </c>
      <c r="U126" s="20" t="str">
        <f>IF(S$2&gt;='[4]4 цех result'!$C27,$AK126,"")</f>
        <v/>
      </c>
      <c r="V126" s="20">
        <f>IF(V$2='[4]4 цех result'!$C27,'[4]4 цех_CapEx'!L27,0)</f>
        <v>1667.2735663953058</v>
      </c>
      <c r="W126" s="20">
        <f>IF(V$2&gt;='[4]4 цех result'!$D27,'[4]4 цех_CapEx'!L27,0)</f>
        <v>0</v>
      </c>
      <c r="X126" s="20" t="str">
        <f>IF(V$2&gt;='[4]4 цех result'!$C27,$AK126,"")</f>
        <v>Замена выключателей ВВ-35 кВ - 1000 А - 6 шт.</v>
      </c>
      <c r="Y126" s="20">
        <f>IF(Y$2='[4]4 цех result'!$C27,'[4]4 цех_CapEx'!M27,0)</f>
        <v>0</v>
      </c>
      <c r="Z126" s="20">
        <f>IF(Y$2&gt;='[4]4 цех result'!$D27,'[4]4 цех_CapEx'!M27,0)</f>
        <v>0</v>
      </c>
      <c r="AA126" s="20" t="str">
        <f>IF(Y$2&gt;='[4]4 цех result'!$C27,$AK126,"")</f>
        <v>Замена выключателей ВВ-35 кВ - 1000 А - 6 шт.</v>
      </c>
      <c r="AB126" s="20">
        <f>IF(AB$2='[4]4 цех result'!$C27,'[4]4 цех_CapEx'!N27,0)</f>
        <v>0</v>
      </c>
      <c r="AC126" s="20">
        <f>IF(AB$2&gt;='[4]4 цех result'!$D27,'[4]4 цех_CapEx'!N27,0)</f>
        <v>56086.415864111528</v>
      </c>
      <c r="AD126" s="20" t="str">
        <f>IF(AB$2&gt;='[4]4 цех result'!$C27,$AK126,"")</f>
        <v>Замена выключателей ВВ-35 кВ - 1000 А - 6 шт.</v>
      </c>
      <c r="AE126" s="20">
        <f>IF(AE$2='[4]4 цех result'!$C27,'[4]4 цех_CapEx'!O27,0)</f>
        <v>0</v>
      </c>
      <c r="AF126" s="20">
        <f>IF(AE$2&gt;='[4]4 цех result'!$D27,'[4]4 цех_CapEx'!O27,0)</f>
        <v>0</v>
      </c>
      <c r="AG126" s="20" t="str">
        <f>IF(AE$2&gt;='[4]4 цех result'!$C27,$AK126,"")</f>
        <v>Замена выключателей ВВ-35 кВ - 1000 А - 6 шт.</v>
      </c>
      <c r="AH126" s="20">
        <f>IF(AH$2='[4]4 цех result'!$C27,'[4]4 цех_CapEx'!P27,0)</f>
        <v>0</v>
      </c>
      <c r="AI126" s="20">
        <f>IF(AH$2&gt;='[4]4 цех result'!$D27,'[4]4 цех_CapEx'!P27,0)</f>
        <v>0</v>
      </c>
      <c r="AJ126" s="20" t="str">
        <f>IF(AH$2&gt;='[4]4 цех result'!$C27,$AK126,"")</f>
        <v>Замена выключателей ВВ-35 кВ - 1000 А - 6 шт.</v>
      </c>
      <c r="AK126" s="12" t="s">
        <v>128</v>
      </c>
      <c r="AL126" s="19"/>
      <c r="AM126" s="71">
        <f>SUM(D126:AJ126)</f>
        <v>57753.689430506834</v>
      </c>
      <c r="AN126" s="71">
        <f>'[4]4 цех_CapEx'!$V27</f>
        <v>57753.689430506834</v>
      </c>
      <c r="AO126" s="71">
        <f>AM126-AN126</f>
        <v>0</v>
      </c>
      <c r="AP126" s="57" t="s">
        <v>249</v>
      </c>
      <c r="AQ126" s="81" t="s">
        <v>242</v>
      </c>
    </row>
    <row r="127" spans="1:43" s="38" customFormat="1" hidden="1">
      <c r="A127" s="78">
        <f>A126+1</f>
        <v>101</v>
      </c>
      <c r="B127" s="27"/>
      <c r="C127" s="41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30"/>
      <c r="AL127" s="27"/>
      <c r="AM127" s="27"/>
      <c r="AN127" s="27"/>
      <c r="AO127" s="27"/>
      <c r="AP127" s="61"/>
      <c r="AQ127" s="77"/>
    </row>
    <row r="128" spans="1:43" ht="45">
      <c r="A128" s="78">
        <v>101</v>
      </c>
      <c r="B128" s="19" t="str">
        <f>'[4]4 цех_CapEx'!$B29</f>
        <v>ПС 35/6 кВ 2х6300 кВА Каменка</v>
      </c>
      <c r="C128" s="32">
        <f>'[4]4 цех_CapEx'!$W29</f>
        <v>1</v>
      </c>
      <c r="D128" s="20">
        <f>IF(D$2='[4]4 цех result'!$C29,'[4]4 цех_CapEx'!F29,0)</f>
        <v>0</v>
      </c>
      <c r="E128" s="20">
        <f>IF(D$2&gt;='[4]4 цех result'!$D29,'[4]4 цех_CapEx'!F29,0)</f>
        <v>0</v>
      </c>
      <c r="F128" s="20" t="str">
        <f>IF(D$2&gt;='[4]4 цех result'!$C29,$AK128,"")</f>
        <v/>
      </c>
      <c r="G128" s="20">
        <f>IF(G$2='[4]4 цех result'!$C29,'[4]4 цех_CapEx'!G29,0)</f>
        <v>0</v>
      </c>
      <c r="H128" s="20">
        <f>IF(G$2&gt;='[4]4 цех result'!$D29,'[4]4 цех_CapEx'!G29,0)</f>
        <v>0</v>
      </c>
      <c r="I128" s="20" t="str">
        <f>IF(G$2&gt;='[4]4 цех result'!$C29,$AK128,"")</f>
        <v/>
      </c>
      <c r="J128" s="20">
        <f>IF(J$2='[4]4 цех result'!$C29,'[4]4 цех_CapEx'!H29,0)</f>
        <v>0</v>
      </c>
      <c r="K128" s="20">
        <f>IF(J$2&gt;='[4]4 цех result'!$D29,'[4]4 цех_CapEx'!H29,0)</f>
        <v>0</v>
      </c>
      <c r="L128" s="20" t="str">
        <f>IF(J$2&gt;='[4]4 цех result'!$C29,$AK128,"")</f>
        <v/>
      </c>
      <c r="M128" s="20">
        <f>IF(M$2='[4]4 цех result'!$C29,'[4]4 цех_CapEx'!I29,0)</f>
        <v>0</v>
      </c>
      <c r="N128" s="20">
        <f>IF(M$2&gt;='[4]4 цех result'!$D29,'[4]4 цех_CapEx'!I29,0)</f>
        <v>0</v>
      </c>
      <c r="O128" s="20" t="str">
        <f>IF(M$2&gt;='[4]4 цех result'!$C29,$AK128,"")</f>
        <v/>
      </c>
      <c r="P128" s="20">
        <f>IF(P$2='[4]4 цех result'!$C29,'[4]4 цех_CapEx'!J29,0)</f>
        <v>295.2218741725319</v>
      </c>
      <c r="Q128" s="20">
        <f>IF(P$2&gt;='[4]4 цех result'!$D29,'[4]4 цех_CapEx'!J29,0)</f>
        <v>0</v>
      </c>
      <c r="R128" s="20" t="str">
        <f>IF(P$2&gt;='[4]4 цех result'!$C29,$AK128,"")</f>
        <v>Установка БСК 6 кВ 1000 кВАр 1 сш., 1500 кВАр 2 сш.</v>
      </c>
      <c r="S128" s="20">
        <f>IF(S$2='[4]4 цех result'!$C29,'[4]4 цех_CapEx'!K29,0)</f>
        <v>0</v>
      </c>
      <c r="T128" s="20">
        <f>IF(S$2&gt;='[4]4 цех result'!$D29,'[4]4 цех_CapEx'!K29,0)</f>
        <v>0</v>
      </c>
      <c r="U128" s="20" t="str">
        <f>IF(S$2&gt;='[4]4 цех result'!$C29,$AK128,"")</f>
        <v>Установка БСК 6 кВ 1000 кВАр 1 сш., 1500 кВАр 2 сш.</v>
      </c>
      <c r="V128" s="20">
        <f>IF(V$2='[4]4 цех result'!$C29,'[4]4 цех_CapEx'!L29,0)</f>
        <v>0</v>
      </c>
      <c r="W128" s="20">
        <f>IF(V$2&gt;='[4]4 цех result'!$D29,'[4]4 цех_CapEx'!L29,0)</f>
        <v>10574.035672706117</v>
      </c>
      <c r="X128" s="20" t="str">
        <f>IF(V$2&gt;='[4]4 цех result'!$C29,$AK128,"")</f>
        <v>Установка БСК 6 кВ 1000 кВАр 1 сш., 1500 кВАр 2 сш.</v>
      </c>
      <c r="Y128" s="20">
        <f>IF(Y$2='[4]4 цех result'!$C29,'[4]4 цех_CapEx'!M29,0)</f>
        <v>0</v>
      </c>
      <c r="Z128" s="20">
        <f>IF(Y$2&gt;='[4]4 цех result'!$D29,'[4]4 цех_CapEx'!M29,0)</f>
        <v>0</v>
      </c>
      <c r="AA128" s="20" t="str">
        <f>IF(Y$2&gt;='[4]4 цех result'!$C29,$AK128,"")</f>
        <v>Установка БСК 6 кВ 1000 кВАр 1 сш., 1500 кВАр 2 сш.</v>
      </c>
      <c r="AB128" s="20">
        <f>IF(AB$2='[4]4 цех result'!$C29,'[4]4 цех_CapEx'!N29,0)</f>
        <v>0</v>
      </c>
      <c r="AC128" s="20">
        <f>IF(AB$2&gt;='[4]4 цех result'!$D29,'[4]4 цех_CapEx'!N29,0)</f>
        <v>0</v>
      </c>
      <c r="AD128" s="20" t="str">
        <f>IF(AB$2&gt;='[4]4 цех result'!$C29,$AK128,"")</f>
        <v>Установка БСК 6 кВ 1000 кВАр 1 сш., 1500 кВАр 2 сш.</v>
      </c>
      <c r="AE128" s="20">
        <f>IF(AE$2='[4]4 цех result'!$C29,'[4]4 цех_CapEx'!O29,0)</f>
        <v>0</v>
      </c>
      <c r="AF128" s="20">
        <f>IF(AE$2&gt;='[4]4 цех result'!$D29,'[4]4 цех_CapEx'!O29,0)</f>
        <v>0</v>
      </c>
      <c r="AG128" s="20" t="str">
        <f>IF(AE$2&gt;='[4]4 цех result'!$C29,$AK128,"")</f>
        <v>Установка БСК 6 кВ 1000 кВАр 1 сш., 1500 кВАр 2 сш.</v>
      </c>
      <c r="AH128" s="20">
        <f>IF(AH$2='[4]4 цех result'!$C29,'[4]4 цех_CapEx'!P29,0)</f>
        <v>0</v>
      </c>
      <c r="AI128" s="20">
        <f>IF(AH$2&gt;='[4]4 цех result'!$D29,'[4]4 цех_CapEx'!P29,0)</f>
        <v>0</v>
      </c>
      <c r="AJ128" s="20" t="str">
        <f>IF(AH$2&gt;='[4]4 цех result'!$C29,$AK128,"")</f>
        <v>Установка БСК 6 кВ 1000 кВАр 1 сш., 1500 кВАр 2 сш.</v>
      </c>
      <c r="AK128" s="12" t="s">
        <v>129</v>
      </c>
      <c r="AL128" s="19"/>
      <c r="AM128" s="71">
        <f>SUM(D128:AJ128)</f>
        <v>10869.257546878649</v>
      </c>
      <c r="AN128" s="71">
        <f>'[4]4 цех_CapEx'!$V29</f>
        <v>10869.257546878649</v>
      </c>
      <c r="AO128" s="71">
        <f>AM128-AN128</f>
        <v>0</v>
      </c>
      <c r="AP128" s="56" t="s">
        <v>250</v>
      </c>
      <c r="AQ128" s="81" t="s">
        <v>242</v>
      </c>
    </row>
    <row r="129" spans="1:43" ht="30">
      <c r="A129" s="78">
        <v>102</v>
      </c>
      <c r="B129" s="19" t="str">
        <f>'[4]4 цех_CapEx'!$B30</f>
        <v>ПС 35/6 кВ 2х4000 кВА Волгановка</v>
      </c>
      <c r="C129" s="32">
        <f>'[4]4 цех_CapEx'!$W30</f>
        <v>1</v>
      </c>
      <c r="D129" s="20">
        <f>IF(D$2='[4]4 цех result'!$C30,'[4]4 цех_CapEx'!F30,0)</f>
        <v>0</v>
      </c>
      <c r="E129" s="20">
        <f>IF(D$2&gt;='[4]4 цех result'!$D30,'[4]4 цех_CapEx'!F30,0)</f>
        <v>0</v>
      </c>
      <c r="F129" s="20" t="str">
        <f>IF(D$2&gt;='[4]4 цех result'!$C30,$AK129,"")</f>
        <v/>
      </c>
      <c r="G129" s="20">
        <f>IF(G$2='[4]4 цех result'!$C30,'[4]4 цех_CapEx'!G30,0)</f>
        <v>0</v>
      </c>
      <c r="H129" s="20">
        <f>IF(G$2&gt;='[4]4 цех result'!$D30,'[4]4 цех_CapEx'!G30,0)</f>
        <v>0</v>
      </c>
      <c r="I129" s="20" t="str">
        <f>IF(G$2&gt;='[4]4 цех result'!$C30,$AK129,"")</f>
        <v/>
      </c>
      <c r="J129" s="20">
        <f>IF(J$2='[4]4 цех result'!$C30,'[4]4 цех_CapEx'!H30,0)</f>
        <v>0</v>
      </c>
      <c r="K129" s="20">
        <f>IF(J$2&gt;='[4]4 цех result'!$D30,'[4]4 цех_CapEx'!H30,0)</f>
        <v>0</v>
      </c>
      <c r="L129" s="20" t="str">
        <f>IF(J$2&gt;='[4]4 цех result'!$C30,$AK129,"")</f>
        <v/>
      </c>
      <c r="M129" s="20">
        <f>IF(M$2='[4]4 цех result'!$C30,'[4]4 цех_CapEx'!I30,0)</f>
        <v>0</v>
      </c>
      <c r="N129" s="20">
        <f>IF(M$2&gt;='[4]4 цех result'!$D30,'[4]4 цех_CapEx'!I30,0)</f>
        <v>0</v>
      </c>
      <c r="O129" s="20" t="str">
        <f>IF(M$2&gt;='[4]4 цех result'!$C30,$AK129,"")</f>
        <v/>
      </c>
      <c r="P129" s="20">
        <f>IF(P$2='[4]4 цех result'!$C30,'[4]4 цех_CapEx'!J30,0)</f>
        <v>0</v>
      </c>
      <c r="Q129" s="20">
        <f>IF(P$2&gt;='[4]4 цех result'!$D30,'[4]4 цех_CapEx'!J30,0)</f>
        <v>0</v>
      </c>
      <c r="R129" s="20" t="str">
        <f>IF(P$2&gt;='[4]4 цех result'!$C30,$AK129,"")</f>
        <v/>
      </c>
      <c r="S129" s="20">
        <f>IF(S$2='[4]4 цех result'!$C30,'[4]4 цех_CapEx'!K30,0)</f>
        <v>311.45907725202113</v>
      </c>
      <c r="T129" s="20">
        <f>IF(S$2&gt;='[4]4 цех result'!$D30,'[4]4 цех_CapEx'!K30,0)</f>
        <v>0</v>
      </c>
      <c r="U129" s="20" t="str">
        <f>IF(S$2&gt;='[4]4 цех result'!$C30,$AK129,"")</f>
        <v>Установка БСК 6 кВ 1100 кВАр 2 сш.</v>
      </c>
      <c r="V129" s="20">
        <f>IF(V$2='[4]4 цех result'!$C30,'[4]4 цех_CapEx'!L30,0)</f>
        <v>0</v>
      </c>
      <c r="W129" s="20">
        <f>IF(V$2&gt;='[4]4 цех result'!$D30,'[4]4 цех_CapEx'!L30,0)</f>
        <v>0</v>
      </c>
      <c r="X129" s="20" t="str">
        <f>IF(V$2&gt;='[4]4 цех result'!$C30,$AK129,"")</f>
        <v>Установка БСК 6 кВ 1100 кВАр 2 сш.</v>
      </c>
      <c r="Y129" s="20">
        <f>IF(Y$2='[4]4 цех result'!$C30,'[4]4 цех_CapEx'!M30,0)</f>
        <v>0</v>
      </c>
      <c r="Z129" s="20">
        <f>IF(Y$2&gt;='[4]4 цех result'!$D30,'[4]4 цех_CapEx'!M30,0)</f>
        <v>10785.51638616024</v>
      </c>
      <c r="AA129" s="20" t="str">
        <f>IF(Y$2&gt;='[4]4 цех result'!$C30,$AK129,"")</f>
        <v>Установка БСК 6 кВ 1100 кВАр 2 сш.</v>
      </c>
      <c r="AB129" s="20">
        <f>IF(AB$2='[4]4 цех result'!$C30,'[4]4 цех_CapEx'!N30,0)</f>
        <v>0</v>
      </c>
      <c r="AC129" s="20">
        <f>IF(AB$2&gt;='[4]4 цех result'!$D30,'[4]4 цех_CapEx'!N30,0)</f>
        <v>0</v>
      </c>
      <c r="AD129" s="20" t="str">
        <f>IF(AB$2&gt;='[4]4 цех result'!$C30,$AK129,"")</f>
        <v>Установка БСК 6 кВ 1100 кВАр 2 сш.</v>
      </c>
      <c r="AE129" s="20">
        <f>IF(AE$2='[4]4 цех result'!$C30,'[4]4 цех_CapEx'!O30,0)</f>
        <v>0</v>
      </c>
      <c r="AF129" s="20">
        <f>IF(AE$2&gt;='[4]4 цех result'!$D30,'[4]4 цех_CapEx'!O30,0)</f>
        <v>0</v>
      </c>
      <c r="AG129" s="20" t="str">
        <f>IF(AE$2&gt;='[4]4 цех result'!$C30,$AK129,"")</f>
        <v>Установка БСК 6 кВ 1100 кВАр 2 сш.</v>
      </c>
      <c r="AH129" s="20">
        <f>IF(AH$2='[4]4 цех result'!$C30,'[4]4 цех_CapEx'!P30,0)</f>
        <v>0</v>
      </c>
      <c r="AI129" s="20">
        <f>IF(AH$2&gt;='[4]4 цех result'!$D30,'[4]4 цех_CapEx'!P30,0)</f>
        <v>0</v>
      </c>
      <c r="AJ129" s="20" t="str">
        <f>IF(AH$2&gt;='[4]4 цех result'!$C30,$AK129,"")</f>
        <v>Установка БСК 6 кВ 1100 кВАр 2 сш.</v>
      </c>
      <c r="AK129" s="12" t="s">
        <v>130</v>
      </c>
      <c r="AL129" s="19"/>
      <c r="AM129" s="71">
        <f>SUM(D129:AJ129)</f>
        <v>11096.97546341226</v>
      </c>
      <c r="AN129" s="71">
        <f>'[4]4 цех_CapEx'!$V30</f>
        <v>11096.97546341226</v>
      </c>
      <c r="AO129" s="71">
        <f>AM129-AN129</f>
        <v>0</v>
      </c>
      <c r="AP129" s="56" t="s">
        <v>251</v>
      </c>
      <c r="AQ129" s="81" t="s">
        <v>242</v>
      </c>
    </row>
    <row r="130" spans="1:43" ht="90">
      <c r="A130" s="78">
        <v>103</v>
      </c>
      <c r="B130" s="19" t="str">
        <f>'[4]4 цех_CapEx'!$B31</f>
        <v>ПП-35 кВ "Каменка"</v>
      </c>
      <c r="C130" s="32">
        <f>'[4]4 цех_CapEx'!$W31</f>
        <v>1</v>
      </c>
      <c r="D130" s="20">
        <f>IF(D$2='[4]4 цех result'!$C31,'[4]4 цех_CapEx'!F31,0)</f>
        <v>0</v>
      </c>
      <c r="E130" s="20">
        <f>IF(D$2&gt;='[4]4 цех result'!$D31,'[4]4 цех_CapEx'!F31,0)</f>
        <v>0</v>
      </c>
      <c r="F130" s="20" t="str">
        <f>IF(D$2&gt;='[4]4 цех result'!$C31,$AK130,"")</f>
        <v/>
      </c>
      <c r="G130" s="20">
        <f>IF(G$2='[4]4 цех result'!$C31,'[4]4 цех_CapEx'!G31,0)</f>
        <v>0</v>
      </c>
      <c r="H130" s="20">
        <f>IF(G$2&gt;='[4]4 цех result'!$D31,'[4]4 цех_CapEx'!G31,0)</f>
        <v>0</v>
      </c>
      <c r="I130" s="20" t="str">
        <f>IF(G$2&gt;='[4]4 цех result'!$C31,$AK130,"")</f>
        <v/>
      </c>
      <c r="J130" s="20">
        <f>IF(J$2='[4]4 цех result'!$C31,'[4]4 цех_CapEx'!H31,0)</f>
        <v>0</v>
      </c>
      <c r="K130" s="20">
        <f>IF(J$2&gt;='[4]4 цех result'!$D31,'[4]4 цех_CapEx'!H31,0)</f>
        <v>0</v>
      </c>
      <c r="L130" s="20" t="str">
        <f>IF(J$2&gt;='[4]4 цех result'!$C31,$AK130,"")</f>
        <v/>
      </c>
      <c r="M130" s="20">
        <f>IF(M$2='[4]4 цех result'!$C31,'[4]4 цех_CapEx'!I31,0)</f>
        <v>0</v>
      </c>
      <c r="N130" s="20">
        <f>IF(M$2&gt;='[4]4 цех result'!$D31,'[4]4 цех_CapEx'!I31,0)</f>
        <v>0</v>
      </c>
      <c r="O130" s="20" t="str">
        <f>IF(M$2&gt;='[4]4 цех result'!$C31,$AK130,"")</f>
        <v/>
      </c>
      <c r="P130" s="20">
        <f>IF(P$2='[4]4 цех result'!$C31,'[4]4 цех_CapEx'!J31,0)</f>
        <v>91.331760290085896</v>
      </c>
      <c r="Q130" s="20">
        <f>IF(P$2&gt;='[4]4 цех result'!$D31,'[4]4 цех_CapEx'!J31,0)</f>
        <v>0</v>
      </c>
      <c r="R130" s="20" t="str">
        <f>IF(P$2&gt;='[4]4 цех result'!$C31,$AK130,"")</f>
        <v xml:space="preserve">Установка реклоузера 35 кВ с дистанционным управлением на ПП 35 Каменка. Монтаж АВР 6кВ. </v>
      </c>
      <c r="S130" s="20">
        <f>IF(S$2='[4]4 цех result'!$C31,'[4]4 цех_CapEx'!K31,0)</f>
        <v>0</v>
      </c>
      <c r="T130" s="20">
        <f>IF(S$2&gt;='[4]4 цех result'!$D31,'[4]4 цех_CapEx'!K31,0)</f>
        <v>0</v>
      </c>
      <c r="U130" s="20" t="str">
        <f>IF(S$2&gt;='[4]4 цех result'!$C31,$AK130,"")</f>
        <v xml:space="preserve">Установка реклоузера 35 кВ с дистанционным управлением на ПП 35 Каменка. Монтаж АВР 6кВ. </v>
      </c>
      <c r="V130" s="20">
        <f>IF(V$2='[4]4 цех result'!$C31,'[4]4 цех_CapEx'!L31,0)</f>
        <v>0</v>
      </c>
      <c r="W130" s="20">
        <f>IF(V$2&gt;='[4]4 цех result'!$D31,'[4]4 цех_CapEx'!L31,0)</f>
        <v>3271.2524912500785</v>
      </c>
      <c r="X130" s="20" t="str">
        <f>IF(V$2&gt;='[4]4 цех result'!$C31,$AK130,"")</f>
        <v xml:space="preserve">Установка реклоузера 35 кВ с дистанционным управлением на ПП 35 Каменка. Монтаж АВР 6кВ. </v>
      </c>
      <c r="Y130" s="20">
        <f>IF(Y$2='[4]4 цех result'!$C31,'[4]4 цех_CapEx'!M31,0)</f>
        <v>0</v>
      </c>
      <c r="Z130" s="20">
        <f>IF(Y$2&gt;='[4]4 цех result'!$D31,'[4]4 цех_CapEx'!M31,0)</f>
        <v>0</v>
      </c>
      <c r="AA130" s="20" t="str">
        <f>IF(Y$2&gt;='[4]4 цех result'!$C31,$AK130,"")</f>
        <v xml:space="preserve">Установка реклоузера 35 кВ с дистанционным управлением на ПП 35 Каменка. Монтаж АВР 6кВ. </v>
      </c>
      <c r="AB130" s="20">
        <f>IF(AB$2='[4]4 цех result'!$C31,'[4]4 цех_CapEx'!N31,0)</f>
        <v>0</v>
      </c>
      <c r="AC130" s="20">
        <f>IF(AB$2&gt;='[4]4 цех result'!$D31,'[4]4 цех_CapEx'!N31,0)</f>
        <v>0</v>
      </c>
      <c r="AD130" s="20" t="str">
        <f>IF(AB$2&gt;='[4]4 цех result'!$C31,$AK130,"")</f>
        <v xml:space="preserve">Установка реклоузера 35 кВ с дистанционным управлением на ПП 35 Каменка. Монтаж АВР 6кВ. </v>
      </c>
      <c r="AE130" s="20">
        <f>IF(AE$2='[4]4 цех result'!$C31,'[4]4 цех_CapEx'!O31,0)</f>
        <v>0</v>
      </c>
      <c r="AF130" s="20">
        <f>IF(AE$2&gt;='[4]4 цех result'!$D31,'[4]4 цех_CapEx'!O31,0)</f>
        <v>0</v>
      </c>
      <c r="AG130" s="20" t="str">
        <f>IF(AE$2&gt;='[4]4 цех result'!$C31,$AK130,"")</f>
        <v xml:space="preserve">Установка реклоузера 35 кВ с дистанционным управлением на ПП 35 Каменка. Монтаж АВР 6кВ. </v>
      </c>
      <c r="AH130" s="20">
        <f>IF(AH$2='[4]4 цех result'!$C31,'[4]4 цех_CapEx'!P31,0)</f>
        <v>0</v>
      </c>
      <c r="AI130" s="20">
        <f>IF(AH$2&gt;='[4]4 цех result'!$D31,'[4]4 цех_CapEx'!P31,0)</f>
        <v>0</v>
      </c>
      <c r="AJ130" s="20" t="str">
        <f>IF(AH$2&gt;='[4]4 цех result'!$C31,$AK130,"")</f>
        <v xml:space="preserve">Установка реклоузера 35 кВ с дистанционным управлением на ПП 35 Каменка. Монтаж АВР 6кВ. </v>
      </c>
      <c r="AK130" s="12" t="s">
        <v>132</v>
      </c>
      <c r="AL130" s="19"/>
      <c r="AM130" s="71">
        <f>SUM(D130:AJ130)</f>
        <v>3362.5842515401646</v>
      </c>
      <c r="AN130" s="71">
        <f>'[4]4 цех_CapEx'!$V31</f>
        <v>3362.5842515401646</v>
      </c>
      <c r="AO130" s="71">
        <f>AM130-AN130</f>
        <v>0</v>
      </c>
      <c r="AP130" s="56" t="s">
        <v>250</v>
      </c>
      <c r="AQ130" s="81" t="s">
        <v>242</v>
      </c>
    </row>
    <row r="131" spans="1:43" ht="75">
      <c r="A131" s="78">
        <v>104</v>
      </c>
      <c r="B131" s="19" t="str">
        <f>'[4]4 цех_CapEx'!$B32</f>
        <v>ПП-35 кВ "Елховка"</v>
      </c>
      <c r="C131" s="32">
        <f>'[4]4 цех_CapEx'!$W32</f>
        <v>1</v>
      </c>
      <c r="D131" s="20">
        <f>IF(D$2='[4]4 цех result'!$C32,'[4]4 цех_CapEx'!F32,0)</f>
        <v>0</v>
      </c>
      <c r="E131" s="20">
        <f>IF(D$2&gt;='[4]4 цех result'!$D32,'[4]4 цех_CapEx'!F32,0)</f>
        <v>0</v>
      </c>
      <c r="F131" s="20" t="str">
        <f>IF(D$2&gt;='[4]4 цех result'!$C32,$AK131,"")</f>
        <v/>
      </c>
      <c r="G131" s="20">
        <f>IF(G$2='[4]4 цех result'!$C32,'[4]4 цех_CapEx'!G32,0)</f>
        <v>0</v>
      </c>
      <c r="H131" s="20">
        <f>IF(G$2&gt;='[4]4 цех result'!$D32,'[4]4 цех_CapEx'!G32,0)</f>
        <v>0</v>
      </c>
      <c r="I131" s="20" t="str">
        <f>IF(G$2&gt;='[4]4 цех result'!$C32,$AK131,"")</f>
        <v/>
      </c>
      <c r="J131" s="20">
        <f>IF(J$2='[4]4 цех result'!$C32,'[4]4 цех_CapEx'!H32,0)</f>
        <v>0</v>
      </c>
      <c r="K131" s="20">
        <f>IF(J$2&gt;='[4]4 цех result'!$D32,'[4]4 цех_CapEx'!H32,0)</f>
        <v>0</v>
      </c>
      <c r="L131" s="20" t="str">
        <f>IF(J$2&gt;='[4]4 цех result'!$C32,$AK131,"")</f>
        <v/>
      </c>
      <c r="M131" s="20">
        <f>IF(M$2='[4]4 цех result'!$C32,'[4]4 цех_CapEx'!I32,0)</f>
        <v>0</v>
      </c>
      <c r="N131" s="20">
        <f>IF(M$2&gt;='[4]4 цех result'!$D32,'[4]4 цех_CapEx'!I32,0)</f>
        <v>0</v>
      </c>
      <c r="O131" s="20" t="str">
        <f>IF(M$2&gt;='[4]4 цех result'!$C32,$AK131,"")</f>
        <v/>
      </c>
      <c r="P131" s="20">
        <f>IF(P$2='[4]4 цех result'!$C32,'[4]4 цех_CapEx'!J32,0)</f>
        <v>0</v>
      </c>
      <c r="Q131" s="20">
        <f>IF(P$2&gt;='[4]4 цех result'!$D32,'[4]4 цех_CapEx'!J32,0)</f>
        <v>0</v>
      </c>
      <c r="R131" s="20" t="str">
        <f>IF(P$2&gt;='[4]4 цех result'!$C32,$AK131,"")</f>
        <v/>
      </c>
      <c r="S131" s="20">
        <f>IF(S$2='[4]4 цех result'!$C32,'[4]4 цех_CapEx'!K32,0)</f>
        <v>96.355007106040617</v>
      </c>
      <c r="T131" s="20">
        <f>IF(S$2&gt;='[4]4 цех result'!$D32,'[4]4 цех_CapEx'!K32,0)</f>
        <v>0</v>
      </c>
      <c r="U131" s="20" t="str">
        <f>IF(S$2&gt;='[4]4 цех result'!$C32,$AK131,"")</f>
        <v xml:space="preserve">Установка реклоузера 35 кВ с дистанционным управлением ПП35 Елховка. Монтаж АВР 6кВ. </v>
      </c>
      <c r="V131" s="20">
        <f>IF(V$2='[4]4 цех result'!$C32,'[4]4 цех_CapEx'!L32,0)</f>
        <v>0</v>
      </c>
      <c r="W131" s="20">
        <f>IF(V$2&gt;='[4]4 цех result'!$D32,'[4]4 цех_CapEx'!L32,0)</f>
        <v>0</v>
      </c>
      <c r="X131" s="20" t="str">
        <f>IF(V$2&gt;='[4]4 цех result'!$C32,$AK131,"")</f>
        <v xml:space="preserve">Установка реклоузера 35 кВ с дистанционным управлением ПП35 Елховка. Монтаж АВР 6кВ. </v>
      </c>
      <c r="Y131" s="20">
        <f>IF(Y$2='[4]4 цех result'!$C32,'[4]4 цех_CapEx'!M32,0)</f>
        <v>0</v>
      </c>
      <c r="Z131" s="20">
        <f>IF(Y$2&gt;='[4]4 цех result'!$D32,'[4]4 цех_CapEx'!M32,0)</f>
        <v>3336.6775410750802</v>
      </c>
      <c r="AA131" s="20" t="str">
        <f>IF(Y$2&gt;='[4]4 цех result'!$C32,$AK131,"")</f>
        <v xml:space="preserve">Установка реклоузера 35 кВ с дистанционным управлением ПП35 Елховка. Монтаж АВР 6кВ. </v>
      </c>
      <c r="AB131" s="20">
        <f>IF(AB$2='[4]4 цех result'!$C32,'[4]4 цех_CapEx'!N32,0)</f>
        <v>0</v>
      </c>
      <c r="AC131" s="20">
        <f>IF(AB$2&gt;='[4]4 цех result'!$D32,'[4]4 цех_CapEx'!N32,0)</f>
        <v>0</v>
      </c>
      <c r="AD131" s="20" t="str">
        <f>IF(AB$2&gt;='[4]4 цех result'!$C32,$AK131,"")</f>
        <v xml:space="preserve">Установка реклоузера 35 кВ с дистанционным управлением ПП35 Елховка. Монтаж АВР 6кВ. </v>
      </c>
      <c r="AE131" s="20">
        <f>IF(AE$2='[4]4 цех result'!$C32,'[4]4 цех_CapEx'!O32,0)</f>
        <v>0</v>
      </c>
      <c r="AF131" s="20">
        <f>IF(AE$2&gt;='[4]4 цех result'!$D32,'[4]4 цех_CapEx'!O32,0)</f>
        <v>0</v>
      </c>
      <c r="AG131" s="20" t="str">
        <f>IF(AE$2&gt;='[4]4 цех result'!$C32,$AK131,"")</f>
        <v xml:space="preserve">Установка реклоузера 35 кВ с дистанционным управлением ПП35 Елховка. Монтаж АВР 6кВ. </v>
      </c>
      <c r="AH131" s="20">
        <f>IF(AH$2='[4]4 цех result'!$C32,'[4]4 цех_CapEx'!P32,0)</f>
        <v>0</v>
      </c>
      <c r="AI131" s="20">
        <f>IF(AH$2&gt;='[4]4 цех result'!$D32,'[4]4 цех_CapEx'!P32,0)</f>
        <v>0</v>
      </c>
      <c r="AJ131" s="20" t="str">
        <f>IF(AH$2&gt;='[4]4 цех result'!$C32,$AK131,"")</f>
        <v xml:space="preserve">Установка реклоузера 35 кВ с дистанционным управлением ПП35 Елховка. Монтаж АВР 6кВ. </v>
      </c>
      <c r="AK131" s="12" t="s">
        <v>131</v>
      </c>
      <c r="AL131" s="19"/>
      <c r="AM131" s="71">
        <f>SUM(D131:AJ131)</f>
        <v>3433.032548181121</v>
      </c>
      <c r="AN131" s="71">
        <f>'[4]4 цех_CapEx'!$V32</f>
        <v>3433.032548181121</v>
      </c>
      <c r="AO131" s="71">
        <f>AM131-AN131</f>
        <v>0</v>
      </c>
      <c r="AP131" s="57" t="s">
        <v>252</v>
      </c>
      <c r="AQ131" s="81" t="s">
        <v>242</v>
      </c>
    </row>
    <row r="132" spans="1:43" s="38" customFormat="1" hidden="1">
      <c r="A132" s="78">
        <f>A131+1</f>
        <v>105</v>
      </c>
      <c r="B132" s="27"/>
      <c r="C132" s="41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30"/>
      <c r="AL132" s="27"/>
      <c r="AM132" s="27"/>
      <c r="AN132" s="27"/>
      <c r="AO132" s="27"/>
      <c r="AP132" s="61"/>
      <c r="AQ132" s="77"/>
    </row>
    <row r="133" spans="1:43" ht="75">
      <c r="A133" s="78">
        <v>105</v>
      </c>
      <c r="B133" s="19" t="str">
        <f>'[4]4 цех_CapEx'!$B34</f>
        <v>ПС 35/6 кВ 2х4000 кВА Ключи</v>
      </c>
      <c r="C133" s="32">
        <f>'[4]4 цех_CapEx'!$W34</f>
        <v>1</v>
      </c>
      <c r="D133" s="20">
        <f>IF(D$2='[4]4 цех result'!$C34,'[4]4 цех_CapEx'!F34,0)</f>
        <v>0</v>
      </c>
      <c r="E133" s="20">
        <f>IF(D$2&gt;='[4]4 цех result'!$D34,'[4]4 цех_CapEx'!F34,0)</f>
        <v>0</v>
      </c>
      <c r="F133" s="20" t="str">
        <f>IF(D$2&gt;='[4]4 цех result'!$C34,$AK133,"")</f>
        <v/>
      </c>
      <c r="G133" s="20">
        <f>IF(G$2='[4]4 цех result'!$C34,'[4]4 цех_CapEx'!G34,0)</f>
        <v>1148.21851302</v>
      </c>
      <c r="H133" s="20">
        <f>IF(G$2&gt;='[4]4 цех result'!$D34,'[4]4 цех_CapEx'!G34,0)</f>
        <v>0</v>
      </c>
      <c r="I133" s="20" t="str">
        <f>IF(G$2&gt;='[4]4 цех result'!$C34,$AK133,"")</f>
        <v>Замена СТ 35/6 кВ 4000 кВА - 2 шт.
 Монтаж АВР-6 кВ
Установка БСК 6 кВ 1350 кВАр 2 сш.</v>
      </c>
      <c r="J133" s="20">
        <f>IF(J$2='[4]4 цех result'!$C34,'[4]4 цех_CapEx'!H34,0)</f>
        <v>0</v>
      </c>
      <c r="K133" s="20">
        <f>IF(J$2&gt;='[4]4 цех result'!$D34,'[4]4 цех_CapEx'!H34,0)</f>
        <v>0</v>
      </c>
      <c r="L133" s="20" t="str">
        <f>IF(J$2&gt;='[4]4 цех result'!$C34,$AK133,"")</f>
        <v>Замена СТ 35/6 кВ 4000 кВА - 2 шт.
 Монтаж АВР-6 кВ
Установка БСК 6 кВ 1350 кВАр 2 сш.</v>
      </c>
      <c r="M133" s="20">
        <f>IF(M$2='[4]4 цех result'!$C34,'[4]4 цех_CapEx'!I34,0)</f>
        <v>0</v>
      </c>
      <c r="N133" s="20">
        <f>IF(M$2&gt;='[4]4 цех result'!$D34,'[4]4 цех_CapEx'!I34,0)</f>
        <v>0</v>
      </c>
      <c r="O133" s="20" t="str">
        <f>IF(M$2&gt;='[4]4 цех result'!$C34,$AK133,"")</f>
        <v>Замена СТ 35/6 кВ 4000 кВА - 2 шт.
 Монтаж АВР-6 кВ
Установка БСК 6 кВ 1350 кВАр 2 сш.</v>
      </c>
      <c r="P133" s="20">
        <f>IF(P$2='[4]4 цех result'!$C34,'[4]4 цех_CapEx'!J34,0)</f>
        <v>0</v>
      </c>
      <c r="Q133" s="20">
        <f>IF(P$2&gt;='[4]4 цех result'!$D34,'[4]4 цех_CapEx'!J34,0)</f>
        <v>0</v>
      </c>
      <c r="R133" s="20" t="str">
        <f>IF(P$2&gt;='[4]4 цех result'!$C34,$AK133,"")</f>
        <v>Замена СТ 35/6 кВ 4000 кВА - 2 шт.
 Монтаж АВР-6 кВ
Установка БСК 6 кВ 1350 кВАр 2 сш.</v>
      </c>
      <c r="S133" s="20">
        <f>IF(S$2='[4]4 цех result'!$C34,'[4]4 цех_CapEx'!K34,0)</f>
        <v>0</v>
      </c>
      <c r="T133" s="20">
        <f>IF(S$2&gt;='[4]4 цех result'!$D34,'[4]4 цех_CapEx'!K34,0)</f>
        <v>46428.669380003361</v>
      </c>
      <c r="U133" s="20" t="str">
        <f>IF(S$2&gt;='[4]4 цех result'!$C34,$AK133,"")</f>
        <v>Замена СТ 35/6 кВ 4000 кВА - 2 шт.
 Монтаж АВР-6 кВ
Установка БСК 6 кВ 1350 кВАр 2 сш.</v>
      </c>
      <c r="V133" s="20">
        <f>IF(V$2='[4]4 цех result'!$C34,'[4]4 цех_CapEx'!L34,0)</f>
        <v>0</v>
      </c>
      <c r="W133" s="20">
        <f>IF(V$2&gt;='[4]4 цех result'!$D34,'[4]4 цех_CapEx'!L34,0)</f>
        <v>0</v>
      </c>
      <c r="X133" s="20" t="str">
        <f>IF(V$2&gt;='[4]4 цех result'!$C34,$AK133,"")</f>
        <v>Замена СТ 35/6 кВ 4000 кВА - 2 шт.
 Монтаж АВР-6 кВ
Установка БСК 6 кВ 1350 кВАр 2 сш.</v>
      </c>
      <c r="Y133" s="20">
        <f>IF(Y$2='[4]4 цех result'!$C34,'[4]4 цех_CapEx'!M34,0)</f>
        <v>0</v>
      </c>
      <c r="Z133" s="20">
        <f>IF(Y$2&gt;='[4]4 цех result'!$D34,'[4]4 цех_CapEx'!M34,0)</f>
        <v>0</v>
      </c>
      <c r="AA133" s="20" t="str">
        <f>IF(Y$2&gt;='[4]4 цех result'!$C34,$AK133,"")</f>
        <v>Замена СТ 35/6 кВ 4000 кВА - 2 шт.
 Монтаж АВР-6 кВ
Установка БСК 6 кВ 1350 кВАр 2 сш.</v>
      </c>
      <c r="AB133" s="20">
        <f>IF(AB$2='[4]4 цех result'!$C34,'[4]4 цех_CapEx'!N34,0)</f>
        <v>0</v>
      </c>
      <c r="AC133" s="20">
        <f>IF(AB$2&gt;='[4]4 цех result'!$D34,'[4]4 цех_CapEx'!N34,0)</f>
        <v>0</v>
      </c>
      <c r="AD133" s="20" t="str">
        <f>IF(AB$2&gt;='[4]4 цех result'!$C34,$AK133,"")</f>
        <v>Замена СТ 35/6 кВ 4000 кВА - 2 шт.
 Монтаж АВР-6 кВ
Установка БСК 6 кВ 1350 кВАр 2 сш.</v>
      </c>
      <c r="AE133" s="20">
        <f>IF(AE$2='[4]4 цех result'!$C34,'[4]4 цех_CapEx'!O34,0)</f>
        <v>0</v>
      </c>
      <c r="AF133" s="20">
        <f>IF(AE$2&gt;='[4]4 цех result'!$D34,'[4]4 цех_CapEx'!O34,0)</f>
        <v>0</v>
      </c>
      <c r="AG133" s="20" t="str">
        <f>IF(AE$2&gt;='[4]4 цех result'!$C34,$AK133,"")</f>
        <v>Замена СТ 35/6 кВ 4000 кВА - 2 шт.
 Монтаж АВР-6 кВ
Установка БСК 6 кВ 1350 кВАр 2 сш.</v>
      </c>
      <c r="AH133" s="20">
        <f>IF(AH$2='[4]4 цех result'!$C34,'[4]4 цех_CapEx'!P34,0)</f>
        <v>0</v>
      </c>
      <c r="AI133" s="20">
        <f>IF(AH$2&gt;='[4]4 цех result'!$D34,'[4]4 цех_CapEx'!P34,0)</f>
        <v>0</v>
      </c>
      <c r="AJ133" s="20" t="str">
        <f>IF(AH$2&gt;='[4]4 цех result'!$C34,$AK133,"")</f>
        <v>Замена СТ 35/6 кВ 4000 кВА - 2 шт.
 Монтаж АВР-6 кВ
Установка БСК 6 кВ 1350 кВАр 2 сш.</v>
      </c>
      <c r="AK133" s="12" t="s">
        <v>133</v>
      </c>
      <c r="AL133" s="19"/>
      <c r="AM133" s="71">
        <f>SUM(D133:AJ133)</f>
        <v>47576.887893023362</v>
      </c>
      <c r="AN133" s="71">
        <f>'[4]4 цех_CapEx'!$V34</f>
        <v>47576.887893023362</v>
      </c>
      <c r="AO133" s="71">
        <f>AM133-AN133</f>
        <v>0</v>
      </c>
      <c r="AP133" s="56" t="s">
        <v>253</v>
      </c>
      <c r="AQ133" s="81" t="s">
        <v>242</v>
      </c>
    </row>
    <row r="134" spans="1:43" s="25" customFormat="1">
      <c r="A134" s="90">
        <v>106</v>
      </c>
      <c r="B134" s="22" t="s">
        <v>38</v>
      </c>
      <c r="C134" s="22"/>
      <c r="D134" s="23"/>
      <c r="E134" s="23"/>
      <c r="F134" s="23"/>
      <c r="G134" s="24"/>
      <c r="H134" s="23"/>
      <c r="I134" s="23"/>
      <c r="J134" s="24"/>
      <c r="K134" s="23"/>
      <c r="L134" s="23"/>
      <c r="M134" s="24"/>
      <c r="N134" s="23"/>
      <c r="O134" s="23"/>
      <c r="P134" s="24"/>
      <c r="Q134" s="23"/>
      <c r="R134" s="23"/>
      <c r="S134" s="24"/>
      <c r="T134" s="23"/>
      <c r="U134" s="23"/>
      <c r="V134" s="24"/>
      <c r="W134" s="23"/>
      <c r="X134" s="23"/>
      <c r="Y134" s="24"/>
      <c r="Z134" s="23"/>
      <c r="AA134" s="23"/>
      <c r="AB134" s="24"/>
      <c r="AC134" s="23"/>
      <c r="AD134" s="23"/>
      <c r="AE134" s="24"/>
      <c r="AF134" s="23"/>
      <c r="AG134" s="23"/>
      <c r="AH134" s="24"/>
      <c r="AI134" s="23"/>
      <c r="AJ134" s="23"/>
      <c r="AK134" s="58"/>
      <c r="AL134" s="22"/>
      <c r="AM134" s="69">
        <f>SUMIF(C136:C159,1,AM136:AM159)</f>
        <v>1167690.2971729683</v>
      </c>
      <c r="AN134" s="68" t="str">
        <f>IF(ROUND(AM134,5)=ROUND('Свод по цехам_Инвестиции'!R6,5),"","!!!")</f>
        <v>!!!</v>
      </c>
      <c r="AO134" s="22"/>
      <c r="AP134" s="60"/>
      <c r="AQ134" s="75"/>
    </row>
    <row r="135" spans="1:43" s="31" customFormat="1" hidden="1">
      <c r="A135" s="78">
        <f>A134+1</f>
        <v>107</v>
      </c>
      <c r="B135" s="27" t="s">
        <v>11</v>
      </c>
      <c r="C135" s="28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30"/>
      <c r="AL135" s="27"/>
      <c r="AM135" s="27"/>
      <c r="AN135" s="70"/>
      <c r="AO135" s="27"/>
      <c r="AP135" s="61"/>
      <c r="AQ135" s="77"/>
    </row>
    <row r="136" spans="1:43" ht="75">
      <c r="A136" s="78">
        <v>107</v>
      </c>
      <c r="B136" s="19" t="str">
        <f>'[5]5 цех_CapEx'!$B8</f>
        <v>ПС 35/6 кВ 2х4000 "Теребилово"</v>
      </c>
      <c r="C136" s="32">
        <f>'[5]5 цех_CapEx'!$W8</f>
        <v>1</v>
      </c>
      <c r="D136" s="20">
        <f>IF(D$2='[5]5 цех result'!$C8,'[5]5 цех_CapEx'!F8,0)</f>
        <v>0</v>
      </c>
      <c r="E136" s="20">
        <f>IF(D$2&gt;='[5]5 цех result'!$D8,'[5]5 цех_CapEx'!F8,0)</f>
        <v>0</v>
      </c>
      <c r="F136" s="20" t="str">
        <f>IF(D$2&gt;='[5]5 цех result'!$C8,$AK136,"")</f>
        <v/>
      </c>
      <c r="G136" s="20">
        <f>IF(G$2='[5]5 цех result'!$C8,'[5]5 цех_CapEx'!G8,0)</f>
        <v>0</v>
      </c>
      <c r="H136" s="20">
        <f>IF(G$2&gt;='[5]5 цех result'!$D8,'[5]5 цех_CapEx'!G8,0)</f>
        <v>0</v>
      </c>
      <c r="I136" s="20" t="str">
        <f>IF(G$2&gt;='[5]5 цех result'!$C8,$AK136,"")</f>
        <v/>
      </c>
      <c r="J136" s="20">
        <f>IF(J$2='[5]5 цех result'!$C8,'[5]5 цех_CapEx'!H8,0)</f>
        <v>0</v>
      </c>
      <c r="K136" s="20">
        <f>IF(J$2&gt;='[5]5 цех result'!$D8,'[5]5 цех_CapEx'!H8,0)</f>
        <v>0</v>
      </c>
      <c r="L136" s="20" t="str">
        <f>IF(J$2&gt;='[5]5 цех result'!$C8,$AK136,"")</f>
        <v/>
      </c>
      <c r="M136" s="20">
        <f>IF(M$2='[5]5 цех result'!$C8,'[5]5 цех_CapEx'!I8,0)</f>
        <v>472.4102745254412</v>
      </c>
      <c r="N136" s="20">
        <f>IF(M$2&gt;='[5]5 цех result'!$D8,'[5]5 цех_CapEx'!I8,0)</f>
        <v>0</v>
      </c>
      <c r="O136" s="20" t="str">
        <f>IF(M$2&gt;='[5]5 цех result'!$C8,$AK136,"")</f>
        <v xml:space="preserve">                                                                                          Замена ошиновки 35 кВ - 2 секции, замена МВ-35 кВ на ВВ-35 кВ - 2 шт. 12 км</v>
      </c>
      <c r="P136" s="20">
        <f>IF(P$2='[5]5 цех result'!$C8,'[5]5 цех_CapEx'!J8,0)</f>
        <v>0</v>
      </c>
      <c r="Q136" s="20">
        <f>IF(P$2&gt;='[5]5 цех result'!$D8,'[5]5 цех_CapEx'!J8,0)</f>
        <v>0</v>
      </c>
      <c r="R136" s="20" t="str">
        <f>IF(P$2&gt;='[5]5 цех result'!$C8,$AK136,"")</f>
        <v xml:space="preserve">                                                                                          Замена ошиновки 35 кВ - 2 секции, замена МВ-35 кВ на ВВ-35 кВ - 2 шт. 12 км</v>
      </c>
      <c r="S136" s="20">
        <f>IF(S$2='[5]5 цех result'!$C8,'[5]5 цех_CapEx'!K8,0)</f>
        <v>0</v>
      </c>
      <c r="T136" s="20">
        <f>IF(S$2&gt;='[5]5 цех result'!$D8,'[5]5 цех_CapEx'!K8,0)</f>
        <v>17113.813327020605</v>
      </c>
      <c r="U136" s="20" t="str">
        <f>IF(S$2&gt;='[5]5 цех result'!$C8,$AK136,"")</f>
        <v xml:space="preserve">                                                                                          Замена ошиновки 35 кВ - 2 секции, замена МВ-35 кВ на ВВ-35 кВ - 2 шт. 12 км</v>
      </c>
      <c r="V136" s="20">
        <f>IF(V$2='[5]5 цех result'!$C8,'[5]5 цех_CapEx'!L8,0)</f>
        <v>0</v>
      </c>
      <c r="W136" s="20">
        <f>IF(V$2&gt;='[5]5 цех result'!$D8,'[5]5 цех_CapEx'!L8,0)</f>
        <v>0</v>
      </c>
      <c r="X136" s="20" t="str">
        <f>IF(V$2&gt;='[5]5 цех result'!$C8,$AK136,"")</f>
        <v xml:space="preserve">                                                                                          Замена ошиновки 35 кВ - 2 секции, замена МВ-35 кВ на ВВ-35 кВ - 2 шт. 12 км</v>
      </c>
      <c r="Y136" s="20">
        <f>IF(Y$2='[5]5 цех result'!$C8,'[5]5 цех_CapEx'!M8,0)</f>
        <v>0</v>
      </c>
      <c r="Z136" s="20">
        <f>IF(Y$2&gt;='[5]5 цех result'!$D8,'[5]5 цех_CapEx'!M8,0)</f>
        <v>0</v>
      </c>
      <c r="AA136" s="20" t="str">
        <f>IF(Y$2&gt;='[5]5 цех result'!$C8,$AK136,"")</f>
        <v xml:space="preserve">                                                                                          Замена ошиновки 35 кВ - 2 секции, замена МВ-35 кВ на ВВ-35 кВ - 2 шт. 12 км</v>
      </c>
      <c r="AB136" s="20">
        <f>IF(AB$2='[5]5 цех result'!$C8,'[5]5 цех_CapEx'!N8,0)</f>
        <v>0</v>
      </c>
      <c r="AC136" s="20">
        <f>IF(AB$2&gt;='[5]5 цех result'!$D8,'[5]5 цех_CapEx'!N8,0)</f>
        <v>0</v>
      </c>
      <c r="AD136" s="20" t="str">
        <f>IF(AB$2&gt;='[5]5 цех result'!$C8,$AK136,"")</f>
        <v xml:space="preserve">                                                                                          Замена ошиновки 35 кВ - 2 секции, замена МВ-35 кВ на ВВ-35 кВ - 2 шт. 12 км</v>
      </c>
      <c r="AE136" s="20">
        <f>IF(AE$2='[5]5 цех result'!$C8,'[5]5 цех_CapEx'!O8,0)</f>
        <v>0</v>
      </c>
      <c r="AF136" s="20">
        <f>IF(AE$2&gt;='[5]5 цех result'!$D8,'[5]5 цех_CapEx'!O8,0)</f>
        <v>0</v>
      </c>
      <c r="AG136" s="20" t="str">
        <f>IF(AE$2&gt;='[5]5 цех result'!$C8,$AK136,"")</f>
        <v xml:space="preserve">                                                                                          Замена ошиновки 35 кВ - 2 секции, замена МВ-35 кВ на ВВ-35 кВ - 2 шт. 12 км</v>
      </c>
      <c r="AH136" s="20">
        <f>IF(AH$2='[5]5 цех result'!$C8,'[5]5 цех_CapEx'!P8,0)</f>
        <v>0</v>
      </c>
      <c r="AI136" s="20">
        <f>IF(AH$2&gt;='[5]5 цех result'!$D8,'[5]5 цех_CapEx'!P8,0)</f>
        <v>0</v>
      </c>
      <c r="AJ136" s="20" t="str">
        <f>IF(AH$2&gt;='[5]5 цех result'!$C8,$AK136,"")</f>
        <v xml:space="preserve">                                                                                          Замена ошиновки 35 кВ - 2 секции, замена МВ-35 кВ на ВВ-35 кВ - 2 шт. 12 км</v>
      </c>
      <c r="AK136" s="12" t="s">
        <v>134</v>
      </c>
      <c r="AL136" s="19"/>
      <c r="AM136" s="71">
        <f t="shared" ref="AM136:AM146" si="9">SUM(D136:AJ136)</f>
        <v>17586.223601546048</v>
      </c>
      <c r="AN136" s="71">
        <f>'[5]5 цех_CapEx'!$V8</f>
        <v>17586.223601546048</v>
      </c>
      <c r="AO136" s="71">
        <f>AM136-AN136</f>
        <v>0</v>
      </c>
      <c r="AP136" s="56" t="s">
        <v>254</v>
      </c>
      <c r="AQ136" s="81" t="s">
        <v>255</v>
      </c>
    </row>
    <row r="137" spans="1:43" ht="45">
      <c r="A137" s="78">
        <v>108</v>
      </c>
      <c r="B137" s="19" t="str">
        <f>'[5]5 цех_CapEx'!$B9</f>
        <v xml:space="preserve"> ПС-35/6 кВ "Дерюжевка"</v>
      </c>
      <c r="C137" s="32">
        <f>'[5]5 цех_CapEx'!$W9</f>
        <v>1</v>
      </c>
      <c r="D137" s="20">
        <f>IF(D$2='[5]5 цех result'!$C9,'[5]5 цех_CapEx'!F9,0)</f>
        <v>0</v>
      </c>
      <c r="E137" s="20">
        <f>IF(D$2&gt;='[5]5 цех result'!$D9,'[5]5 цех_CapEx'!F9,0)</f>
        <v>0</v>
      </c>
      <c r="F137" s="20" t="str">
        <f>IF(D$2&gt;='[5]5 цех result'!$C9,$AK137,"")</f>
        <v/>
      </c>
      <c r="G137" s="20">
        <f>IF(G$2='[5]5 цех result'!$C9,'[5]5 цех_CapEx'!G9,0)</f>
        <v>0</v>
      </c>
      <c r="H137" s="20">
        <f>IF(G$2&gt;='[5]5 цех result'!$D9,'[5]5 цех_CapEx'!G9,0)</f>
        <v>0</v>
      </c>
      <c r="I137" s="20" t="str">
        <f>IF(G$2&gt;='[5]5 цех result'!$C9,$AK137,"")</f>
        <v/>
      </c>
      <c r="J137" s="20">
        <f>IF(J$2='[5]5 цех result'!$C9,'[5]5 цех_CapEx'!H9,0)</f>
        <v>2275.5277021380002</v>
      </c>
      <c r="K137" s="20">
        <f>IF(J$2&gt;='[5]5 цех result'!$D9,'[5]5 цех_CapEx'!H9,0)</f>
        <v>0</v>
      </c>
      <c r="L137" s="20" t="str">
        <f>IF(J$2&gt;='[5]5 цех result'!$C9,$AK137,"")</f>
        <v>Блок СВВ-35 кВ - 1 шт., блок ВВ-35 кВ - 2 шт. и РУ-6 кВ.</v>
      </c>
      <c r="M137" s="20">
        <f>IF(M$2='[5]5 цех result'!$C9,'[5]5 цех_CapEx'!I9,0)</f>
        <v>0</v>
      </c>
      <c r="N137" s="20">
        <f>IF(M$2&gt;='[5]5 цех result'!$D9,'[5]5 цех_CapEx'!I9,0)</f>
        <v>77474.891674692481</v>
      </c>
      <c r="O137" s="20" t="str">
        <f>IF(M$2&gt;='[5]5 цех result'!$C9,$AK137,"")</f>
        <v>Блок СВВ-35 кВ - 1 шт., блок ВВ-35 кВ - 2 шт. и РУ-6 кВ.</v>
      </c>
      <c r="P137" s="20">
        <f>IF(P$2='[5]5 цех result'!$C9,'[5]5 цех_CapEx'!J9,0)</f>
        <v>0</v>
      </c>
      <c r="Q137" s="20">
        <f>IF(P$2&gt;='[5]5 цех result'!$D9,'[5]5 цех_CapEx'!J9,0)</f>
        <v>0</v>
      </c>
      <c r="R137" s="20" t="str">
        <f>IF(P$2&gt;='[5]5 цех result'!$C9,$AK137,"")</f>
        <v>Блок СВВ-35 кВ - 1 шт., блок ВВ-35 кВ - 2 шт. и РУ-6 кВ.</v>
      </c>
      <c r="S137" s="20">
        <f>IF(S$2='[5]5 цех result'!$C9,'[5]5 цех_CapEx'!K9,0)</f>
        <v>0</v>
      </c>
      <c r="T137" s="20">
        <f>IF(S$2&gt;='[5]5 цех result'!$D9,'[5]5 цех_CapEx'!K9,0)</f>
        <v>0</v>
      </c>
      <c r="U137" s="20" t="str">
        <f>IF(S$2&gt;='[5]5 цех result'!$C9,$AK137,"")</f>
        <v>Блок СВВ-35 кВ - 1 шт., блок ВВ-35 кВ - 2 шт. и РУ-6 кВ.</v>
      </c>
      <c r="V137" s="20">
        <f>IF(V$2='[5]5 цех result'!$C9,'[5]5 цех_CapEx'!L9,0)</f>
        <v>0</v>
      </c>
      <c r="W137" s="20">
        <f>IF(V$2&gt;='[5]5 цех result'!$D9,'[5]5 цех_CapEx'!L9,0)</f>
        <v>0</v>
      </c>
      <c r="X137" s="20" t="str">
        <f>IF(V$2&gt;='[5]5 цех result'!$C9,$AK137,"")</f>
        <v>Блок СВВ-35 кВ - 1 шт., блок ВВ-35 кВ - 2 шт. и РУ-6 кВ.</v>
      </c>
      <c r="Y137" s="20">
        <f>IF(Y$2='[5]5 цех result'!$C9,'[5]5 цех_CapEx'!M9,0)</f>
        <v>0</v>
      </c>
      <c r="Z137" s="20">
        <f>IF(Y$2&gt;='[5]5 цех result'!$D9,'[5]5 цех_CapEx'!M9,0)</f>
        <v>0</v>
      </c>
      <c r="AA137" s="20" t="str">
        <f>IF(Y$2&gt;='[5]5 цех result'!$C9,$AK137,"")</f>
        <v>Блок СВВ-35 кВ - 1 шт., блок ВВ-35 кВ - 2 шт. и РУ-6 кВ.</v>
      </c>
      <c r="AB137" s="20">
        <f>IF(AB$2='[5]5 цех result'!$C9,'[5]5 цех_CapEx'!N9,0)</f>
        <v>0</v>
      </c>
      <c r="AC137" s="20">
        <f>IF(AB$2&gt;='[5]5 цех result'!$D9,'[5]5 цех_CapEx'!N9,0)</f>
        <v>0</v>
      </c>
      <c r="AD137" s="20" t="str">
        <f>IF(AB$2&gt;='[5]5 цех result'!$C9,$AK137,"")</f>
        <v>Блок СВВ-35 кВ - 1 шт., блок ВВ-35 кВ - 2 шт. и РУ-6 кВ.</v>
      </c>
      <c r="AE137" s="20">
        <f>IF(AE$2='[5]5 цех result'!$C9,'[5]5 цех_CapEx'!O9,0)</f>
        <v>0</v>
      </c>
      <c r="AF137" s="20">
        <f>IF(AE$2&gt;='[5]5 цех result'!$D9,'[5]5 цех_CapEx'!O9,0)</f>
        <v>0</v>
      </c>
      <c r="AG137" s="20" t="str">
        <f>IF(AE$2&gt;='[5]5 цех result'!$C9,$AK137,"")</f>
        <v>Блок СВВ-35 кВ - 1 шт., блок ВВ-35 кВ - 2 шт. и РУ-6 кВ.</v>
      </c>
      <c r="AH137" s="20">
        <f>IF(AH$2='[5]5 цех result'!$C9,'[5]5 цех_CapEx'!P9,0)</f>
        <v>0</v>
      </c>
      <c r="AI137" s="20">
        <f>IF(AH$2&gt;='[5]5 цех result'!$D9,'[5]5 цех_CapEx'!P9,0)</f>
        <v>0</v>
      </c>
      <c r="AJ137" s="20" t="str">
        <f>IF(AH$2&gt;='[5]5 цех result'!$C9,$AK137,"")</f>
        <v>Блок СВВ-35 кВ - 1 шт., блок ВВ-35 кВ - 2 шт. и РУ-6 кВ.</v>
      </c>
      <c r="AK137" s="12" t="s">
        <v>136</v>
      </c>
      <c r="AL137" s="19"/>
      <c r="AM137" s="71">
        <f t="shared" si="9"/>
        <v>79750.419376830483</v>
      </c>
      <c r="AN137" s="71">
        <f>'[5]5 цех_CapEx'!$V9</f>
        <v>79750.419376830483</v>
      </c>
      <c r="AO137" s="71">
        <f t="shared" ref="AO137:AO146" si="10">AM137-AN137</f>
        <v>0</v>
      </c>
      <c r="AP137" s="66" t="s">
        <v>256</v>
      </c>
      <c r="AQ137" s="81" t="s">
        <v>255</v>
      </c>
    </row>
    <row r="138" spans="1:43" ht="225">
      <c r="A138" s="78">
        <v>109</v>
      </c>
      <c r="B138" s="19" t="str">
        <f>'[5]5 цех_CapEx'!$B10</f>
        <v>ПП-35 кВ «Мочалеевка»</v>
      </c>
      <c r="C138" s="32">
        <f>'[5]5 цех_CapEx'!$W10</f>
        <v>1</v>
      </c>
      <c r="D138" s="20">
        <f>IF(D$2='[5]5 цех result'!$C10,'[5]5 цех_CapEx'!F10,0)</f>
        <v>0</v>
      </c>
      <c r="E138" s="20">
        <f>IF(D$2&gt;='[5]5 цех result'!$D10,'[5]5 цех_CapEx'!F10,0)</f>
        <v>0</v>
      </c>
      <c r="F138" s="20" t="str">
        <f>IF(D$2&gt;='[5]5 цех result'!$C10,$AK138,"")</f>
        <v/>
      </c>
      <c r="G138" s="20">
        <f>IF(G$2='[5]5 цех result'!$C10,'[5]5 цех_CapEx'!G10,0)</f>
        <v>0</v>
      </c>
      <c r="H138" s="20">
        <f>IF(G$2&gt;='[5]5 цех result'!$D10,'[5]5 цех_CapEx'!G10,0)</f>
        <v>0</v>
      </c>
      <c r="I138" s="20" t="str">
        <f>IF(G$2&gt;='[5]5 цех result'!$C10,$AK138,"")</f>
        <v/>
      </c>
      <c r="J138" s="20">
        <f>IF(J$2='[5]5 цех result'!$C10,'[5]5 цех_CapEx'!H10,0)</f>
        <v>0</v>
      </c>
      <c r="K138" s="20">
        <f>IF(J$2&gt;='[5]5 цех result'!$D10,'[5]5 цех_CapEx'!H10,0)</f>
        <v>0</v>
      </c>
      <c r="L138" s="20" t="str">
        <f>IF(J$2&gt;='[5]5 цех result'!$C10,$AK138,"")</f>
        <v/>
      </c>
      <c r="M138" s="20">
        <f>IF(M$2='[5]5 цех result'!$C10,'[5]5 цех_CapEx'!I10,0)</f>
        <v>0</v>
      </c>
      <c r="N138" s="20">
        <f>IF(M$2&gt;='[5]5 цех result'!$D10,'[5]5 цех_CapEx'!I10,0)</f>
        <v>0</v>
      </c>
      <c r="O138" s="20" t="str">
        <f>IF(M$2&gt;='[5]5 цех result'!$C10,$AK138,"")</f>
        <v/>
      </c>
      <c r="P138" s="20">
        <f>IF(P$2='[5]5 цех result'!$C10,'[5]5 цех_CapEx'!J10,0)</f>
        <v>360.62416000084204</v>
      </c>
      <c r="Q138" s="20">
        <f>IF(P$2&gt;='[5]5 цех result'!$D10,'[5]5 цех_CapEx'!J10,0)</f>
        <v>0</v>
      </c>
      <c r="R138" s="20" t="str">
        <f>IF(P$2&gt;='[5]5 цех result'!$C10,$AK138,"")</f>
        <v>Перенос блока ПП-35/6 кВ Мочалеевка на новое место расположения (после ответвления на ПС 35/6  кВ Сургутская (ПРЦЭиЭ №3) и передача ВЛ-35 кВУ Мочалеевка (участок от ПС 110/35/6 кВ Козловская до нового ПП-35 кВ Мочалеевка) и обслуживание ПРЦЭиЭ №3.</v>
      </c>
      <c r="S138" s="20">
        <f>IF(S$2='[5]5 цех result'!$C10,'[5]5 цех_CapEx'!K10,0)</f>
        <v>0</v>
      </c>
      <c r="T138" s="20">
        <f>IF(S$2&gt;='[5]5 цех result'!$D10,'[5]5 цех_CapEx'!K10,0)</f>
        <v>12301.491137895391</v>
      </c>
      <c r="U138" s="20" t="str">
        <f>IF(S$2&gt;='[5]5 цех result'!$C10,$AK138,"")</f>
        <v>Перенос блока ПП-35/6 кВ Мочалеевка на новое место расположения (после ответвления на ПС 35/6  кВ Сургутская (ПРЦЭиЭ №3) и передача ВЛ-35 кВУ Мочалеевка (участок от ПС 110/35/6 кВ Козловская до нового ПП-35 кВ Мочалеевка) и обслуживание ПРЦЭиЭ №3.</v>
      </c>
      <c r="V138" s="20">
        <f>IF(V$2='[5]5 цех result'!$C10,'[5]5 цех_CapEx'!L10,0)</f>
        <v>0</v>
      </c>
      <c r="W138" s="20">
        <f>IF(V$2&gt;='[5]5 цех result'!$D10,'[5]5 цех_CapEx'!L10,0)</f>
        <v>0</v>
      </c>
      <c r="X138" s="20" t="str">
        <f>IF(V$2&gt;='[5]5 цех result'!$C10,$AK138,"")</f>
        <v>Перенос блока ПП-35/6 кВ Мочалеевка на новое место расположения (после ответвления на ПС 35/6  кВ Сургутская (ПРЦЭиЭ №3) и передача ВЛ-35 кВУ Мочалеевка (участок от ПС 110/35/6 кВ Козловская до нового ПП-35 кВ Мочалеевка) и обслуживание ПРЦЭиЭ №3.</v>
      </c>
      <c r="Y138" s="20">
        <f>IF(Y$2='[5]5 цех result'!$C10,'[5]5 цех_CapEx'!M10,0)</f>
        <v>0</v>
      </c>
      <c r="Z138" s="20">
        <f>IF(Y$2&gt;='[5]5 цех result'!$D10,'[5]5 цех_CapEx'!M10,0)</f>
        <v>0</v>
      </c>
      <c r="AA138" s="20" t="str">
        <f>IF(Y$2&gt;='[5]5 цех result'!$C10,$AK138,"")</f>
        <v>Перенос блока ПП-35/6 кВ Мочалеевка на новое место расположения (после ответвления на ПС 35/6  кВ Сургутская (ПРЦЭиЭ №3) и передача ВЛ-35 кВУ Мочалеевка (участок от ПС 110/35/6 кВ Козловская до нового ПП-35 кВ Мочалеевка) и обслуживание ПРЦЭиЭ №3.</v>
      </c>
      <c r="AB138" s="20">
        <f>IF(AB$2='[5]5 цех result'!$C10,'[5]5 цех_CapEx'!N10,0)</f>
        <v>0</v>
      </c>
      <c r="AC138" s="20">
        <f>IF(AB$2&gt;='[5]5 цех result'!$D10,'[5]5 цех_CapEx'!N10,0)</f>
        <v>0</v>
      </c>
      <c r="AD138" s="20" t="str">
        <f>IF(AB$2&gt;='[5]5 цех result'!$C10,$AK138,"")</f>
        <v>Перенос блока ПП-35/6 кВ Мочалеевка на новое место расположения (после ответвления на ПС 35/6  кВ Сургутская (ПРЦЭиЭ №3) и передача ВЛ-35 кВУ Мочалеевка (участок от ПС 110/35/6 кВ Козловская до нового ПП-35 кВ Мочалеевка) и обслуживание ПРЦЭиЭ №3.</v>
      </c>
      <c r="AE138" s="20">
        <f>IF(AE$2='[5]5 цех result'!$C10,'[5]5 цех_CapEx'!O10,0)</f>
        <v>0</v>
      </c>
      <c r="AF138" s="20">
        <f>IF(AE$2&gt;='[5]5 цех result'!$D10,'[5]5 цех_CapEx'!O10,0)</f>
        <v>0</v>
      </c>
      <c r="AG138" s="20" t="str">
        <f>IF(AE$2&gt;='[5]5 цех result'!$C10,$AK138,"")</f>
        <v>Перенос блока ПП-35/6 кВ Мочалеевка на новое место расположения (после ответвления на ПС 35/6  кВ Сургутская (ПРЦЭиЭ №3) и передача ВЛ-35 кВУ Мочалеевка (участок от ПС 110/35/6 кВ Козловская до нового ПП-35 кВ Мочалеевка) и обслуживание ПРЦЭиЭ №3.</v>
      </c>
      <c r="AH138" s="20">
        <f>IF(AH$2='[5]5 цех result'!$C10,'[5]5 цех_CapEx'!P10,0)</f>
        <v>0</v>
      </c>
      <c r="AI138" s="20">
        <f>IF(AH$2&gt;='[5]5 цех result'!$D10,'[5]5 цех_CapEx'!P10,0)</f>
        <v>0</v>
      </c>
      <c r="AJ138" s="20" t="str">
        <f>IF(AH$2&gt;='[5]5 цех result'!$C10,$AK138,"")</f>
        <v>Перенос блока ПП-35/6 кВ Мочалеевка на новое место расположения (после ответвления на ПС 35/6  кВ Сургутская (ПРЦЭиЭ №3) и передача ВЛ-35 кВУ Мочалеевка (участок от ПС 110/35/6 кВ Козловская до нового ПП-35 кВ Мочалеевка) и обслуживание ПРЦЭиЭ №3.</v>
      </c>
      <c r="AK138" s="12" t="s">
        <v>153</v>
      </c>
      <c r="AL138" s="19"/>
      <c r="AM138" s="71">
        <f t="shared" si="9"/>
        <v>12662.115297896233</v>
      </c>
      <c r="AN138" s="71">
        <f>'[5]5 цех_CapEx'!$V10</f>
        <v>12662.115297896233</v>
      </c>
      <c r="AO138" s="71">
        <f t="shared" si="10"/>
        <v>0</v>
      </c>
      <c r="AP138" s="56" t="s">
        <v>257</v>
      </c>
      <c r="AQ138" s="81" t="s">
        <v>255</v>
      </c>
    </row>
    <row r="139" spans="1:43" ht="30">
      <c r="A139" s="78">
        <v>110</v>
      </c>
      <c r="B139" s="19" t="str">
        <f>'[5]5 цех_CapEx'!$B11</f>
        <v>ПС 35/6 кВ «Аманак»</v>
      </c>
      <c r="C139" s="32">
        <f>'[5]5 цех_CapEx'!$W11</f>
        <v>1</v>
      </c>
      <c r="D139" s="20">
        <f>IF(D$2='[5]5 цех result'!$C11,'[5]5 цех_CapEx'!F11,0)</f>
        <v>0</v>
      </c>
      <c r="E139" s="20">
        <f>IF(D$2&gt;='[5]5 цех result'!$D11,'[5]5 цех_CapEx'!F11,0)</f>
        <v>0</v>
      </c>
      <c r="F139" s="20" t="str">
        <f>IF(D$2&gt;='[5]5 цех result'!$C11,$AK139,"")</f>
        <v/>
      </c>
      <c r="G139" s="20">
        <f>IF(G$2='[5]5 цех result'!$C11,'[5]5 цех_CapEx'!G11,0)</f>
        <v>0</v>
      </c>
      <c r="H139" s="20">
        <f>IF(G$2&gt;='[5]5 цех result'!$D11,'[5]5 цех_CapEx'!G11,0)</f>
        <v>0</v>
      </c>
      <c r="I139" s="20" t="str">
        <f>IF(G$2&gt;='[5]5 цех result'!$C11,$AK139,"")</f>
        <v/>
      </c>
      <c r="J139" s="20">
        <f>IF(J$2='[5]5 цех result'!$C11,'[5]5 цех_CapEx'!H11,0)</f>
        <v>0</v>
      </c>
      <c r="K139" s="20">
        <f>IF(J$2&gt;='[5]5 цех result'!$D11,'[5]5 цех_CapEx'!H11,0)</f>
        <v>0</v>
      </c>
      <c r="L139" s="20" t="str">
        <f>IF(J$2&gt;='[5]5 цех result'!$C11,$AK139,"")</f>
        <v/>
      </c>
      <c r="M139" s="20">
        <f>IF(M$2='[5]5 цех result'!$C11,'[5]5 цех_CapEx'!I11,0)</f>
        <v>0</v>
      </c>
      <c r="N139" s="20">
        <f>IF(M$2&gt;='[5]5 цех result'!$D11,'[5]5 цех_CapEx'!I11,0)</f>
        <v>0</v>
      </c>
      <c r="O139" s="20" t="str">
        <f>IF(M$2&gt;='[5]5 цех result'!$C11,$AK139,"")</f>
        <v/>
      </c>
      <c r="P139" s="20">
        <f>IF(P$2='[5]5 цех result'!$C11,'[5]5 цех_CapEx'!J11,0)</f>
        <v>0</v>
      </c>
      <c r="Q139" s="20">
        <f>IF(P$2&gt;='[5]5 цех result'!$D11,'[5]5 цех_CapEx'!J11,0)</f>
        <v>0</v>
      </c>
      <c r="R139" s="20" t="str">
        <f>IF(P$2&gt;='[5]5 цех result'!$C11,$AK139,"")</f>
        <v/>
      </c>
      <c r="S139" s="20">
        <f>IF(S$2='[5]5 цех result'!$C11,'[5]5 цех_CapEx'!K11,0)</f>
        <v>1028.9472262184927</v>
      </c>
      <c r="T139" s="20">
        <f>IF(S$2&gt;='[5]5 цех result'!$D11,'[5]5 цех_CapEx'!K11,0)</f>
        <v>0</v>
      </c>
      <c r="U139" s="20" t="str">
        <f>IF(S$2&gt;='[5]5 цех result'!$C11,$AK139,"")</f>
        <v>КРУ- 10 ячеек</v>
      </c>
      <c r="V139" s="20">
        <f>IF(V$2='[5]5 цех result'!$C11,'[5]5 цех_CapEx'!L11,0)</f>
        <v>0</v>
      </c>
      <c r="W139" s="20">
        <f>IF(V$2&gt;='[5]5 цех result'!$D11,'[5]5 цех_CapEx'!L11,0)</f>
        <v>0</v>
      </c>
      <c r="X139" s="20" t="str">
        <f>IF(V$2&gt;='[5]5 цех result'!$C11,$AK139,"")</f>
        <v>КРУ- 10 ячеек</v>
      </c>
      <c r="Y139" s="20">
        <f>IF(Y$2='[5]5 цех result'!$C11,'[5]5 цех_CapEx'!M11,0)</f>
        <v>0</v>
      </c>
      <c r="Z139" s="20">
        <f>IF(Y$2&gt;='[5]5 цех result'!$D11,'[5]5 цех_CapEx'!M11,0)</f>
        <v>35631.413496720183</v>
      </c>
      <c r="AA139" s="20" t="str">
        <f>IF(Y$2&gt;='[5]5 цех result'!$C11,$AK139,"")</f>
        <v>КРУ- 10 ячеек</v>
      </c>
      <c r="AB139" s="20">
        <f>IF(AB$2='[5]5 цех result'!$C11,'[5]5 цех_CapEx'!N11,0)</f>
        <v>0</v>
      </c>
      <c r="AC139" s="20">
        <f>IF(AB$2&gt;='[5]5 цех result'!$D11,'[5]5 цех_CapEx'!N11,0)</f>
        <v>0</v>
      </c>
      <c r="AD139" s="20" t="str">
        <f>IF(AB$2&gt;='[5]5 цех result'!$C11,$AK139,"")</f>
        <v>КРУ- 10 ячеек</v>
      </c>
      <c r="AE139" s="20">
        <f>IF(AE$2='[5]5 цех result'!$C11,'[5]5 цех_CapEx'!O11,0)</f>
        <v>0</v>
      </c>
      <c r="AF139" s="20">
        <f>IF(AE$2&gt;='[5]5 цех result'!$D11,'[5]5 цех_CapEx'!O11,0)</f>
        <v>0</v>
      </c>
      <c r="AG139" s="20" t="str">
        <f>IF(AE$2&gt;='[5]5 цех result'!$C11,$AK139,"")</f>
        <v>КРУ- 10 ячеек</v>
      </c>
      <c r="AH139" s="20">
        <f>IF(AH$2='[5]5 цех result'!$C11,'[5]5 цех_CapEx'!P11,0)</f>
        <v>0</v>
      </c>
      <c r="AI139" s="20">
        <f>IF(AH$2&gt;='[5]5 цех result'!$D11,'[5]5 цех_CapEx'!P11,0)</f>
        <v>0</v>
      </c>
      <c r="AJ139" s="20" t="str">
        <f>IF(AH$2&gt;='[5]5 цех result'!$C11,$AK139,"")</f>
        <v>КРУ- 10 ячеек</v>
      </c>
      <c r="AK139" s="12" t="s">
        <v>142</v>
      </c>
      <c r="AL139" s="19"/>
      <c r="AM139" s="71">
        <f t="shared" si="9"/>
        <v>36660.360722938676</v>
      </c>
      <c r="AN139" s="71">
        <f>'[5]5 цех_CapEx'!$V11</f>
        <v>36660.360722938676</v>
      </c>
      <c r="AO139" s="71">
        <f t="shared" si="10"/>
        <v>0</v>
      </c>
      <c r="AP139" s="66" t="s">
        <v>259</v>
      </c>
      <c r="AQ139" s="81" t="s">
        <v>255</v>
      </c>
    </row>
    <row r="140" spans="1:43" ht="45">
      <c r="A140" s="78">
        <v>111</v>
      </c>
      <c r="B140" s="19" t="str">
        <f>'[5]5 цех_CapEx'!$B12</f>
        <v xml:space="preserve">ПС 35/6 кВ «Мочалеевка» </v>
      </c>
      <c r="C140" s="32">
        <f>'[5]5 цех_CapEx'!$W12</f>
        <v>1</v>
      </c>
      <c r="D140" s="20">
        <f>IF(D$2='[5]5 цех result'!$C12,'[5]5 цех_CapEx'!F12,0)</f>
        <v>0</v>
      </c>
      <c r="E140" s="20">
        <f>IF(D$2&gt;='[5]5 цех result'!$D12,'[5]5 цех_CapEx'!F12,0)</f>
        <v>0</v>
      </c>
      <c r="F140" s="20" t="str">
        <f>IF(D$2&gt;='[5]5 цех result'!$C12,$AK140,"")</f>
        <v/>
      </c>
      <c r="G140" s="20">
        <f>IF(G$2='[5]5 цех result'!$C12,'[5]5 цех_CapEx'!G12,0)</f>
        <v>0</v>
      </c>
      <c r="H140" s="20">
        <f>IF(G$2&gt;='[5]5 цех result'!$D12,'[5]5 цех_CapEx'!G12,0)</f>
        <v>0</v>
      </c>
      <c r="I140" s="20" t="str">
        <f>IF(G$2&gt;='[5]5 цех result'!$C12,$AK140,"")</f>
        <v/>
      </c>
      <c r="J140" s="20">
        <f>IF(J$2='[5]5 цех result'!$C12,'[5]5 цех_CapEx'!H12,0)</f>
        <v>0</v>
      </c>
      <c r="K140" s="20">
        <f>IF(J$2&gt;='[5]5 цех result'!$D12,'[5]5 цех_CapEx'!H12,0)</f>
        <v>0</v>
      </c>
      <c r="L140" s="20" t="str">
        <f>IF(J$2&gt;='[5]5 цех result'!$C12,$AK140,"")</f>
        <v/>
      </c>
      <c r="M140" s="20">
        <f>IF(M$2='[5]5 цех result'!$C12,'[5]5 цех_CapEx'!I12,0)</f>
        <v>0</v>
      </c>
      <c r="N140" s="20">
        <f>IF(M$2&gt;='[5]5 цех result'!$D12,'[5]5 цех_CapEx'!I12,0)</f>
        <v>0</v>
      </c>
      <c r="O140" s="20" t="str">
        <f>IF(M$2&gt;='[5]5 цех result'!$C12,$AK140,"")</f>
        <v/>
      </c>
      <c r="P140" s="20">
        <f>IF(P$2='[5]5 цех result'!$C12,'[5]5 цех_CapEx'!J12,0)</f>
        <v>0</v>
      </c>
      <c r="Q140" s="20">
        <f>IF(P$2&gt;='[5]5 цех result'!$D12,'[5]5 цех_CapEx'!J12,0)</f>
        <v>0</v>
      </c>
      <c r="R140" s="20" t="str">
        <f>IF(P$2&gt;='[5]5 цех result'!$C12,$AK140,"")</f>
        <v/>
      </c>
      <c r="S140" s="20">
        <f>IF(S$2='[5]5 цех result'!$C12,'[5]5 цех_CapEx'!K12,0)</f>
        <v>1028.9472262184927</v>
      </c>
      <c r="T140" s="20">
        <f>IF(S$2&gt;='[5]5 цех result'!$D12,'[5]5 цех_CapEx'!K12,0)</f>
        <v>0</v>
      </c>
      <c r="U140" s="20" t="str">
        <f>IF(S$2&gt;='[5]5 цех result'!$C12,$AK140,"")</f>
        <v>КРУН- 10 ячеек</v>
      </c>
      <c r="V140" s="20">
        <f>IF(V$2='[5]5 цех result'!$C12,'[5]5 цех_CapEx'!L12,0)</f>
        <v>0</v>
      </c>
      <c r="W140" s="20">
        <f>IF(V$2&gt;='[5]5 цех result'!$D12,'[5]5 цех_CapEx'!L12,0)</f>
        <v>0</v>
      </c>
      <c r="X140" s="20" t="str">
        <f>IF(V$2&gt;='[5]5 цех result'!$C12,$AK140,"")</f>
        <v>КРУН- 10 ячеек</v>
      </c>
      <c r="Y140" s="20">
        <f>IF(Y$2='[5]5 цех result'!$C12,'[5]5 цех_CapEx'!M12,0)</f>
        <v>0</v>
      </c>
      <c r="Z140" s="20">
        <f>IF(Y$2&gt;='[5]5 цех result'!$D12,'[5]5 цех_CapEx'!M12,0)</f>
        <v>35631.413496720183</v>
      </c>
      <c r="AA140" s="20" t="str">
        <f>IF(Y$2&gt;='[5]5 цех result'!$C12,$AK140,"")</f>
        <v>КРУН- 10 ячеек</v>
      </c>
      <c r="AB140" s="20">
        <f>IF(AB$2='[5]5 цех result'!$C12,'[5]5 цех_CapEx'!N12,0)</f>
        <v>0</v>
      </c>
      <c r="AC140" s="20">
        <f>IF(AB$2&gt;='[5]5 цех result'!$D12,'[5]5 цех_CapEx'!N12,0)</f>
        <v>0</v>
      </c>
      <c r="AD140" s="20" t="str">
        <f>IF(AB$2&gt;='[5]5 цех result'!$C12,$AK140,"")</f>
        <v>КРУН- 10 ячеек</v>
      </c>
      <c r="AE140" s="20">
        <f>IF(AE$2='[5]5 цех result'!$C12,'[5]5 цех_CapEx'!O12,0)</f>
        <v>0</v>
      </c>
      <c r="AF140" s="20">
        <f>IF(AE$2&gt;='[5]5 цех result'!$D12,'[5]5 цех_CapEx'!O12,0)</f>
        <v>0</v>
      </c>
      <c r="AG140" s="20" t="str">
        <f>IF(AE$2&gt;='[5]5 цех result'!$C12,$AK140,"")</f>
        <v>КРУН- 10 ячеек</v>
      </c>
      <c r="AH140" s="20">
        <f>IF(AH$2='[5]5 цех result'!$C12,'[5]5 цех_CapEx'!P12,0)</f>
        <v>0</v>
      </c>
      <c r="AI140" s="20">
        <f>IF(AH$2&gt;='[5]5 цех result'!$D12,'[5]5 цех_CapEx'!P12,0)</f>
        <v>0</v>
      </c>
      <c r="AJ140" s="20" t="str">
        <f>IF(AH$2&gt;='[5]5 цех result'!$C12,$AK140,"")</f>
        <v>КРУН- 10 ячеек</v>
      </c>
      <c r="AK140" s="12" t="s">
        <v>144</v>
      </c>
      <c r="AL140" s="19"/>
      <c r="AM140" s="71">
        <f t="shared" si="9"/>
        <v>36660.360722938676</v>
      </c>
      <c r="AN140" s="71">
        <f>'[5]5 цех_CapEx'!$V12</f>
        <v>36660.360722938676</v>
      </c>
      <c r="AO140" s="71">
        <f t="shared" si="10"/>
        <v>0</v>
      </c>
      <c r="AP140" s="66" t="s">
        <v>258</v>
      </c>
      <c r="AQ140" s="81" t="s">
        <v>255</v>
      </c>
    </row>
    <row r="141" spans="1:43" ht="60">
      <c r="A141" s="78">
        <v>112</v>
      </c>
      <c r="B141" s="19" t="str">
        <f>'[5]5 цех_CapEx'!$B13</f>
        <v>ПС 35/6 кВ "Сологаевская"</v>
      </c>
      <c r="C141" s="32">
        <f>'[5]5 цех_CapEx'!$W13</f>
        <v>1</v>
      </c>
      <c r="D141" s="20">
        <f>IF(D$2='[5]5 цех result'!$C13,'[5]5 цех_CapEx'!F13,0)</f>
        <v>0</v>
      </c>
      <c r="E141" s="20">
        <f>IF(D$2&gt;='[5]5 цех result'!$D13,'[5]5 цех_CapEx'!F13,0)</f>
        <v>0</v>
      </c>
      <c r="F141" s="20" t="str">
        <f>IF(D$2&gt;='[5]5 цех result'!$C13,$AK141,"")</f>
        <v/>
      </c>
      <c r="G141" s="20">
        <f>IF(G$2='[5]5 цех result'!$C13,'[5]5 цех_CapEx'!G13,0)</f>
        <v>0</v>
      </c>
      <c r="H141" s="20">
        <f>IF(G$2&gt;='[5]5 цех result'!$D13,'[5]5 цех_CapEx'!G13,0)</f>
        <v>0</v>
      </c>
      <c r="I141" s="20" t="str">
        <f>IF(G$2&gt;='[5]5 цех result'!$C13,$AK141,"")</f>
        <v/>
      </c>
      <c r="J141" s="20">
        <f>IF(J$2='[5]5 цех result'!$C13,'[5]5 цех_CapEx'!H13,0)</f>
        <v>0</v>
      </c>
      <c r="K141" s="20">
        <f>IF(J$2&gt;='[5]5 цех result'!$D13,'[5]5 цех_CapEx'!H13,0)</f>
        <v>0</v>
      </c>
      <c r="L141" s="20" t="str">
        <f>IF(J$2&gt;='[5]5 цех result'!$C13,$AK141,"")</f>
        <v/>
      </c>
      <c r="M141" s="20">
        <f>IF(M$2='[5]5 цех result'!$C13,'[5]5 цех_CapEx'!I13,0)</f>
        <v>2517.2137410015021</v>
      </c>
      <c r="N141" s="20">
        <f>IF(M$2&gt;='[5]5 цех result'!$D13,'[5]5 цех_CapEx'!I13,0)</f>
        <v>0</v>
      </c>
      <c r="O141" s="20" t="str">
        <f>IF(M$2&gt;='[5]5 цех result'!$C13,$AK141,"")</f>
        <v>Трансформаторы 2*6300 кВА; ВВ-35 кВ- 5 шт.</v>
      </c>
      <c r="P141" s="20">
        <f>IF(P$2='[5]5 цех result'!$C13,'[5]5 цех_CapEx'!J13,0)</f>
        <v>0</v>
      </c>
      <c r="Q141" s="20">
        <f>IF(P$2&gt;='[5]5 цех result'!$D13,'[5]5 цех_CapEx'!J13,0)</f>
        <v>0</v>
      </c>
      <c r="R141" s="20" t="str">
        <f>IF(P$2&gt;='[5]5 цех result'!$C13,$AK141,"")</f>
        <v>Трансформаторы 2*6300 кВА; ВВ-35 кВ- 5 шт.</v>
      </c>
      <c r="S141" s="20">
        <f>IF(S$2='[5]5 цех result'!$C13,'[5]5 цех_CapEx'!K13,0)</f>
        <v>0</v>
      </c>
      <c r="T141" s="20">
        <f>IF(S$2&gt;='[5]5 цех result'!$D13,'[5]5 цех_CapEx'!K13,0)</f>
        <v>91190.070137627612</v>
      </c>
      <c r="U141" s="20" t="str">
        <f>IF(S$2&gt;='[5]5 цех result'!$C13,$AK141,"")</f>
        <v>Трансформаторы 2*6300 кВА; ВВ-35 кВ- 5 шт.</v>
      </c>
      <c r="V141" s="20">
        <f>IF(V$2='[5]5 цех result'!$C13,'[5]5 цех_CapEx'!L13,0)</f>
        <v>0</v>
      </c>
      <c r="W141" s="20">
        <f>IF(V$2&gt;='[5]5 цех result'!$D13,'[5]5 цех_CapEx'!L13,0)</f>
        <v>0</v>
      </c>
      <c r="X141" s="20" t="str">
        <f>IF(V$2&gt;='[5]5 цех result'!$C13,$AK141,"")</f>
        <v>Трансформаторы 2*6300 кВА; ВВ-35 кВ- 5 шт.</v>
      </c>
      <c r="Y141" s="20">
        <f>IF(Y$2='[5]5 цех result'!$C13,'[5]5 цех_CapEx'!M13,0)</f>
        <v>0</v>
      </c>
      <c r="Z141" s="20">
        <f>IF(Y$2&gt;='[5]5 цех result'!$D13,'[5]5 цех_CapEx'!M13,0)</f>
        <v>0</v>
      </c>
      <c r="AA141" s="20" t="str">
        <f>IF(Y$2&gt;='[5]5 цех result'!$C13,$AK141,"")</f>
        <v>Трансформаторы 2*6300 кВА; ВВ-35 кВ- 5 шт.</v>
      </c>
      <c r="AB141" s="20">
        <f>IF(AB$2='[5]5 цех result'!$C13,'[5]5 цех_CapEx'!N13,0)</f>
        <v>0</v>
      </c>
      <c r="AC141" s="20">
        <f>IF(AB$2&gt;='[5]5 цех result'!$D13,'[5]5 цех_CapEx'!N13,0)</f>
        <v>0</v>
      </c>
      <c r="AD141" s="20" t="str">
        <f>IF(AB$2&gt;='[5]5 цех result'!$C13,$AK141,"")</f>
        <v>Трансформаторы 2*6300 кВА; ВВ-35 кВ- 5 шт.</v>
      </c>
      <c r="AE141" s="20">
        <f>IF(AE$2='[5]5 цех result'!$C13,'[5]5 цех_CapEx'!O13,0)</f>
        <v>0</v>
      </c>
      <c r="AF141" s="20">
        <f>IF(AE$2&gt;='[5]5 цех result'!$D13,'[5]5 цех_CapEx'!O13,0)</f>
        <v>0</v>
      </c>
      <c r="AG141" s="20" t="str">
        <f>IF(AE$2&gt;='[5]5 цех result'!$C13,$AK141,"")</f>
        <v>Трансформаторы 2*6300 кВА; ВВ-35 кВ- 5 шт.</v>
      </c>
      <c r="AH141" s="20">
        <f>IF(AH$2='[5]5 цех result'!$C13,'[5]5 цех_CapEx'!P13,0)</f>
        <v>0</v>
      </c>
      <c r="AI141" s="20">
        <f>IF(AH$2&gt;='[5]5 цех result'!$D13,'[5]5 цех_CapEx'!P13,0)</f>
        <v>0</v>
      </c>
      <c r="AJ141" s="20" t="str">
        <f>IF(AH$2&gt;='[5]5 цех result'!$C13,$AK141,"")</f>
        <v>Трансформаторы 2*6300 кВА; ВВ-35 кВ- 5 шт.</v>
      </c>
      <c r="AK141" s="12" t="s">
        <v>148</v>
      </c>
      <c r="AL141" s="19"/>
      <c r="AM141" s="71">
        <f t="shared" si="9"/>
        <v>93707.28387862911</v>
      </c>
      <c r="AN141" s="71">
        <f>'[5]5 цех_CapEx'!$V13</f>
        <v>93707.28387862911</v>
      </c>
      <c r="AO141" s="71">
        <f t="shared" si="10"/>
        <v>0</v>
      </c>
      <c r="AP141" s="56" t="s">
        <v>260</v>
      </c>
      <c r="AQ141" s="81" t="s">
        <v>255</v>
      </c>
    </row>
    <row r="142" spans="1:43" ht="60">
      <c r="A142" s="78">
        <v>113</v>
      </c>
      <c r="B142" s="19" t="str">
        <f>'[5]5 цех_CapEx'!$B14</f>
        <v>ПС 35/6 кВ 2х4000 кВА "Ключевская"</v>
      </c>
      <c r="C142" s="32">
        <f>'[5]5 цех_CapEx'!$W14</f>
        <v>1</v>
      </c>
      <c r="D142" s="20">
        <f>IF(D$2='[5]5 цех result'!$C14,'[5]5 цех_CapEx'!F14,0)</f>
        <v>0</v>
      </c>
      <c r="E142" s="20">
        <f>IF(D$2&gt;='[5]5 цех result'!$D14,'[5]5 цех_CapEx'!F14,0)</f>
        <v>0</v>
      </c>
      <c r="F142" s="20" t="str">
        <f>IF(D$2&gt;='[5]5 цех result'!$C14,$AK142,"")</f>
        <v/>
      </c>
      <c r="G142" s="20">
        <f>IF(G$2='[5]5 цех result'!$C14,'[5]5 цех_CapEx'!G14,0)</f>
        <v>0</v>
      </c>
      <c r="H142" s="20">
        <f>IF(G$2&gt;='[5]5 цех result'!$D14,'[5]5 цех_CapEx'!G14,0)</f>
        <v>0</v>
      </c>
      <c r="I142" s="20" t="str">
        <f>IF(G$2&gt;='[5]5 цех result'!$C14,$AK142,"")</f>
        <v/>
      </c>
      <c r="J142" s="20">
        <f>IF(J$2='[5]5 цех result'!$C14,'[5]5 цех_CapEx'!H14,0)</f>
        <v>0</v>
      </c>
      <c r="K142" s="20">
        <f>IF(J$2&gt;='[5]5 цех result'!$D14,'[5]5 цех_CapEx'!H14,0)</f>
        <v>0</v>
      </c>
      <c r="L142" s="20" t="str">
        <f>IF(J$2&gt;='[5]5 цех result'!$C14,$AK142,"")</f>
        <v/>
      </c>
      <c r="M142" s="20">
        <f>IF(M$2='[5]5 цех result'!$C14,'[5]5 цех_CapEx'!I14,0)</f>
        <v>0</v>
      </c>
      <c r="N142" s="20">
        <f>IF(M$2&gt;='[5]5 цех result'!$D14,'[5]5 цех_CapEx'!I14,0)</f>
        <v>0</v>
      </c>
      <c r="O142" s="20" t="str">
        <f>IF(M$2&gt;='[5]5 цех result'!$C14,$AK142,"")</f>
        <v/>
      </c>
      <c r="P142" s="20">
        <f>IF(P$2='[5]5 цех result'!$C14,'[5]5 цех_CapEx'!J14,0)</f>
        <v>1222.5199315337288</v>
      </c>
      <c r="Q142" s="20">
        <f>IF(P$2&gt;='[5]5 цех result'!$D14,'[5]5 цех_CapEx'!J14,0)</f>
        <v>0</v>
      </c>
      <c r="R142" s="20" t="str">
        <f>IF(P$2&gt;='[5]5 цех result'!$C14,$AK142,"")</f>
        <v xml:space="preserve">                                                                                                                        Блок СВВ-35 кВ - 1 шт., блок ВВ-35 кВ - 4 шт.</v>
      </c>
      <c r="S142" s="20">
        <f>IF(S$2='[5]5 цех result'!$C14,'[5]5 цех_CapEx'!K14,0)</f>
        <v>0</v>
      </c>
      <c r="T142" s="20">
        <f>IF(S$2&gt;='[5]5 цех result'!$D14,'[5]5 цех_CapEx'!K14,0)</f>
        <v>41702.192397834711</v>
      </c>
      <c r="U142" s="20" t="str">
        <f>IF(S$2&gt;='[5]5 цех result'!$C14,$AK142,"")</f>
        <v xml:space="preserve">                                                                                                                        Блок СВВ-35 кВ - 1 шт., блок ВВ-35 кВ - 4 шт.</v>
      </c>
      <c r="V142" s="20">
        <f>IF(V$2='[5]5 цех result'!$C14,'[5]5 цех_CapEx'!L14,0)</f>
        <v>0</v>
      </c>
      <c r="W142" s="20">
        <f>IF(V$2&gt;='[5]5 цех result'!$D14,'[5]5 цех_CapEx'!L14,0)</f>
        <v>0</v>
      </c>
      <c r="X142" s="20" t="str">
        <f>IF(V$2&gt;='[5]5 цех result'!$C14,$AK142,"")</f>
        <v xml:space="preserve">                                                                                                                        Блок СВВ-35 кВ - 1 шт., блок ВВ-35 кВ - 4 шт.</v>
      </c>
      <c r="Y142" s="20">
        <f>IF(Y$2='[5]5 цех result'!$C14,'[5]5 цех_CapEx'!M14,0)</f>
        <v>0</v>
      </c>
      <c r="Z142" s="20">
        <f>IF(Y$2&gt;='[5]5 цех result'!$D14,'[5]5 цех_CapEx'!M14,0)</f>
        <v>0</v>
      </c>
      <c r="AA142" s="20" t="str">
        <f>IF(Y$2&gt;='[5]5 цех result'!$C14,$AK142,"")</f>
        <v xml:space="preserve">                                                                                                                        Блок СВВ-35 кВ - 1 шт., блок ВВ-35 кВ - 4 шт.</v>
      </c>
      <c r="AB142" s="20">
        <f>IF(AB$2='[5]5 цех result'!$C14,'[5]5 цех_CapEx'!N14,0)</f>
        <v>0</v>
      </c>
      <c r="AC142" s="20">
        <f>IF(AB$2&gt;='[5]5 цех result'!$D14,'[5]5 цех_CapEx'!N14,0)</f>
        <v>0</v>
      </c>
      <c r="AD142" s="20" t="str">
        <f>IF(AB$2&gt;='[5]5 цех result'!$C14,$AK142,"")</f>
        <v xml:space="preserve">                                                                                                                        Блок СВВ-35 кВ - 1 шт., блок ВВ-35 кВ - 4 шт.</v>
      </c>
      <c r="AE142" s="20">
        <f>IF(AE$2='[5]5 цех result'!$C14,'[5]5 цех_CapEx'!O14,0)</f>
        <v>0</v>
      </c>
      <c r="AF142" s="20">
        <f>IF(AE$2&gt;='[5]5 цех result'!$D14,'[5]5 цех_CapEx'!O14,0)</f>
        <v>0</v>
      </c>
      <c r="AG142" s="20" t="str">
        <f>IF(AE$2&gt;='[5]5 цех result'!$C14,$AK142,"")</f>
        <v xml:space="preserve">                                                                                                                        Блок СВВ-35 кВ - 1 шт., блок ВВ-35 кВ - 4 шт.</v>
      </c>
      <c r="AH142" s="20">
        <f>IF(AH$2='[5]5 цех result'!$C14,'[5]5 цех_CapEx'!P14,0)</f>
        <v>0</v>
      </c>
      <c r="AI142" s="20">
        <f>IF(AH$2&gt;='[5]5 цех result'!$D14,'[5]5 цех_CapEx'!P14,0)</f>
        <v>0</v>
      </c>
      <c r="AJ142" s="20" t="str">
        <f>IF(AH$2&gt;='[5]5 цех result'!$C14,$AK142,"")</f>
        <v xml:space="preserve">                                                                                                                        Блок СВВ-35 кВ - 1 шт., блок ВВ-35 кВ - 4 шт.</v>
      </c>
      <c r="AK142" s="12" t="s">
        <v>138</v>
      </c>
      <c r="AL142" s="19"/>
      <c r="AM142" s="71">
        <f t="shared" si="9"/>
        <v>42924.712329368442</v>
      </c>
      <c r="AN142" s="71">
        <f>'[5]5 цех_CapEx'!$V14</f>
        <v>42924.712329368442</v>
      </c>
      <c r="AO142" s="71">
        <f t="shared" si="10"/>
        <v>0</v>
      </c>
      <c r="AP142" s="56" t="s">
        <v>261</v>
      </c>
      <c r="AQ142" s="81" t="s">
        <v>255</v>
      </c>
    </row>
    <row r="143" spans="1:43" ht="105" customHeight="1">
      <c r="A143" s="78">
        <v>114</v>
      </c>
      <c r="B143" s="19" t="str">
        <f>'[5]5 цех_CapEx'!$B15</f>
        <v>ПС 35/6 кВ 2х4000 кВА "БКНС"</v>
      </c>
      <c r="C143" s="32">
        <f>'[5]5 цех_CapEx'!$W15</f>
        <v>1</v>
      </c>
      <c r="D143" s="20">
        <f>IF(D$2='[5]5 цех result'!$C15,'[5]5 цех_CapEx'!F15,0)</f>
        <v>1201.4470200000001</v>
      </c>
      <c r="E143" s="20">
        <f>IF(D$2&gt;='[5]5 цех result'!$D15,'[5]5 цех_CapEx'!F15,0)</f>
        <v>0</v>
      </c>
      <c r="F143" s="20" t="str">
        <f>IF(D$2&gt;='[5]5 цех result'!$C15,$AK143,"")</f>
        <v>Блок СВВ-35 кВ - 1 шт., блок ВВ-35 кВ - 4 шт.
ВЛ-35 кВ - 1 км.</v>
      </c>
      <c r="G143" s="20">
        <f>IF(G$2='[5]5 цех result'!$C15,'[5]5 цех_CapEx'!G15,0)</f>
        <v>0</v>
      </c>
      <c r="H143" s="20">
        <f>IF(G$2&gt;='[5]5 цех result'!$D15,'[5]5 цех_CapEx'!G15,0)</f>
        <v>0</v>
      </c>
      <c r="I143" s="20" t="str">
        <f>IF(G$2&gt;='[5]5 цех result'!$C15,$AK143,"")</f>
        <v>Блок СВВ-35 кВ - 1 шт., блок ВВ-35 кВ - 4 шт.
ВЛ-35 кВ - 1 км.</v>
      </c>
      <c r="J143" s="20">
        <f>IF(J$2='[5]5 цех result'!$C15,'[5]5 цех_CapEx'!H15,0)</f>
        <v>0</v>
      </c>
      <c r="K143" s="20">
        <f>IF(J$2&gt;='[5]5 цех result'!$D15,'[5]5 цех_CapEx'!H15,0)</f>
        <v>0</v>
      </c>
      <c r="L143" s="20" t="str">
        <f>IF(J$2&gt;='[5]5 цех result'!$C15,$AK143,"")</f>
        <v>Блок СВВ-35 кВ - 1 шт., блок ВВ-35 кВ - 4 шт.
ВЛ-35 кВ - 1 км.</v>
      </c>
      <c r="M143" s="20">
        <f>IF(M$2='[5]5 цех result'!$C15,'[5]5 цех_CapEx'!I15,0)</f>
        <v>0</v>
      </c>
      <c r="N143" s="20">
        <f>IF(M$2&gt;='[5]5 цех result'!$D15,'[5]5 цех_CapEx'!I15,0)</f>
        <v>14024.292684394024</v>
      </c>
      <c r="O143" s="20" t="str">
        <f>IF(M$2&gt;='[5]5 цех result'!$C15,$AK143,"")</f>
        <v>Блок СВВ-35 кВ - 1 шт., блок ВВ-35 кВ - 4 шт.
ВЛ-35 кВ - 1 км.</v>
      </c>
      <c r="P143" s="20">
        <f>IF(P$2='[5]5 цех result'!$C15,'[5]5 цех_CapEx'!J15,0)</f>
        <v>0</v>
      </c>
      <c r="Q143" s="20">
        <f>IF(P$2&gt;='[5]5 цех result'!$D15,'[5]5 цех_CapEx'!J15,0)</f>
        <v>14893.798830826456</v>
      </c>
      <c r="R143" s="20" t="str">
        <f>IF(P$2&gt;='[5]5 цех result'!$C15,$AK143,"")</f>
        <v>Блок СВВ-35 кВ - 1 шт., блок ВВ-35 кВ - 4 шт.
ВЛ-35 кВ - 1 км.</v>
      </c>
      <c r="S143" s="20">
        <f>IF(S$2='[5]5 цех result'!$C15,'[5]5 цех_CapEx'!K15,0)</f>
        <v>0</v>
      </c>
      <c r="T143" s="20">
        <f>IF(S$2&gt;='[5]5 цех result'!$D15,'[5]5 цех_CapEx'!K15,0)</f>
        <v>15712.957766521908</v>
      </c>
      <c r="U143" s="20" t="str">
        <f>IF(S$2&gt;='[5]5 цех result'!$C15,$AK143,"")</f>
        <v>Блок СВВ-35 кВ - 1 шт., блок ВВ-35 кВ - 4 шт.
ВЛ-35 кВ - 1 км.</v>
      </c>
      <c r="V143" s="20">
        <f>IF(V$2='[5]5 цех result'!$C15,'[5]5 цех_CapEx'!L15,0)</f>
        <v>0</v>
      </c>
      <c r="W143" s="20">
        <f>IF(V$2&gt;='[5]5 цех result'!$D15,'[5]5 цех_CapEx'!L15,0)</f>
        <v>0</v>
      </c>
      <c r="X143" s="20" t="str">
        <f>IF(V$2&gt;='[5]5 цех result'!$C15,$AK143,"")</f>
        <v>Блок СВВ-35 кВ - 1 шт., блок ВВ-35 кВ - 4 шт.
ВЛ-35 кВ - 1 км.</v>
      </c>
      <c r="Y143" s="20">
        <f>IF(Y$2='[5]5 цех result'!$C15,'[5]5 цех_CapEx'!M15,0)</f>
        <v>0</v>
      </c>
      <c r="Z143" s="20">
        <f>IF(Y$2&gt;='[5]5 цех result'!$D15,'[5]5 цех_CapEx'!M15,0)</f>
        <v>0</v>
      </c>
      <c r="AA143" s="20" t="str">
        <f>IF(Y$2&gt;='[5]5 цех result'!$C15,$AK143,"")</f>
        <v>Блок СВВ-35 кВ - 1 шт., блок ВВ-35 кВ - 4 шт.
ВЛ-35 кВ - 1 км.</v>
      </c>
      <c r="AB143" s="20">
        <f>IF(AB$2='[5]5 цех result'!$C15,'[5]5 цех_CapEx'!N15,0)</f>
        <v>0</v>
      </c>
      <c r="AC143" s="20">
        <f>IF(AB$2&gt;='[5]5 цех result'!$D15,'[5]5 цех_CapEx'!N15,0)</f>
        <v>0</v>
      </c>
      <c r="AD143" s="20" t="str">
        <f>IF(AB$2&gt;='[5]5 цех result'!$C15,$AK143,"")</f>
        <v>Блок СВВ-35 кВ - 1 шт., блок ВВ-35 кВ - 4 шт.
ВЛ-35 кВ - 1 км.</v>
      </c>
      <c r="AE143" s="20">
        <f>IF(AE$2='[5]5 цех result'!$C15,'[5]5 цех_CapEx'!O15,0)</f>
        <v>0</v>
      </c>
      <c r="AF143" s="20">
        <f>IF(AE$2&gt;='[5]5 цех result'!$D15,'[5]5 цех_CapEx'!O15,0)</f>
        <v>0</v>
      </c>
      <c r="AG143" s="20" t="str">
        <f>IF(AE$2&gt;='[5]5 цех result'!$C15,$AK143,"")</f>
        <v>Блок СВВ-35 кВ - 1 шт., блок ВВ-35 кВ - 4 шт.
ВЛ-35 кВ - 1 км.</v>
      </c>
      <c r="AH143" s="20">
        <f>IF(AH$2='[5]5 цех result'!$C15,'[5]5 цех_CapEx'!P15,0)</f>
        <v>0</v>
      </c>
      <c r="AI143" s="20">
        <f>IF(AH$2&gt;='[5]5 цех result'!$D15,'[5]5 цех_CapEx'!P15,0)</f>
        <v>0</v>
      </c>
      <c r="AJ143" s="20" t="str">
        <f>IF(AH$2&gt;='[5]5 цех result'!$C15,$AK143,"")</f>
        <v>Блок СВВ-35 кВ - 1 шт., блок ВВ-35 кВ - 4 шт.
ВЛ-35 кВ - 1 км.</v>
      </c>
      <c r="AK143" s="12" t="s">
        <v>146</v>
      </c>
      <c r="AL143" s="19"/>
      <c r="AM143" s="71">
        <f t="shared" si="9"/>
        <v>45832.496301742387</v>
      </c>
      <c r="AN143" s="71">
        <f>'[5]5 цех_CapEx'!$V15</f>
        <v>45832.496301742387</v>
      </c>
      <c r="AO143" s="71">
        <f t="shared" si="10"/>
        <v>0</v>
      </c>
      <c r="AP143" s="56" t="s">
        <v>262</v>
      </c>
      <c r="AQ143" s="81" t="s">
        <v>255</v>
      </c>
    </row>
    <row r="144" spans="1:43" ht="38.25" customHeight="1">
      <c r="A144" s="78">
        <v>115</v>
      </c>
      <c r="B144" s="19" t="str">
        <f>'[5]5 цех_CapEx'!$B16</f>
        <v>ПС 35/6 кВ 2х1600 кВА "Городецк"</v>
      </c>
      <c r="C144" s="32">
        <f>'[5]5 цех_CapEx'!$W16</f>
        <v>1</v>
      </c>
      <c r="D144" s="20">
        <f>IF(D$2='[5]5 цех result'!$C16,'[5]5 цех_CapEx'!F16,0)</f>
        <v>0</v>
      </c>
      <c r="E144" s="20">
        <f>IF(D$2&gt;='[5]5 цех result'!$D16,'[5]5 цех_CapEx'!F16,0)</f>
        <v>0</v>
      </c>
      <c r="F144" s="20" t="str">
        <f>IF(D$2&gt;='[5]5 цех result'!$C16,$AK144,"")</f>
        <v/>
      </c>
      <c r="G144" s="20">
        <f>IF(G$2='[5]5 цех result'!$C16,'[5]5 цех_CapEx'!G16,0)</f>
        <v>0</v>
      </c>
      <c r="H144" s="20">
        <f>IF(G$2&gt;='[5]5 цех result'!$D16,'[5]5 цех_CapEx'!G16,0)</f>
        <v>0</v>
      </c>
      <c r="I144" s="20" t="str">
        <f>IF(G$2&gt;='[5]5 цех result'!$C16,$AK144,"")</f>
        <v/>
      </c>
      <c r="J144" s="20">
        <f>IF(J$2='[5]5 цех result'!$C16,'[5]5 цех_CapEx'!H16,0)</f>
        <v>0</v>
      </c>
      <c r="K144" s="20">
        <f>IF(J$2&gt;='[5]5 цех result'!$D16,'[5]5 цех_CapEx'!H16,0)</f>
        <v>0</v>
      </c>
      <c r="L144" s="20" t="str">
        <f>IF(J$2&gt;='[5]5 цех result'!$C16,$AK144,"")</f>
        <v/>
      </c>
      <c r="M144" s="20">
        <f>IF(M$2='[5]5 цех result'!$C16,'[5]5 цех_CapEx'!I16,0)</f>
        <v>1569.6006468807598</v>
      </c>
      <c r="N144" s="20">
        <f>IF(M$2&gt;='[5]5 цех result'!$D16,'[5]5 цех_CapEx'!I16,0)</f>
        <v>0</v>
      </c>
      <c r="O144" s="20" t="str">
        <f>IF(M$2&gt;='[5]5 цех result'!$C16,$AK144,"")</f>
        <v xml:space="preserve">                                                                                                          Блок ВВ-35 кВ - 3 шт.; ВВ-6 кВ - 9 шт.</v>
      </c>
      <c r="P144" s="20">
        <f>IF(P$2='[5]5 цех result'!$C16,'[5]5 цех_CapEx'!J16,0)</f>
        <v>0</v>
      </c>
      <c r="Q144" s="20">
        <f>IF(P$2&gt;='[5]5 цех result'!$D16,'[5]5 цех_CapEx'!J16,0)</f>
        <v>0</v>
      </c>
      <c r="R144" s="20" t="str">
        <f>IF(P$2&gt;='[5]5 цех result'!$C16,$AK144,"")</f>
        <v xml:space="preserve">                                                                                                          Блок ВВ-35 кВ - 3 шт.; ВВ-6 кВ - 9 шт.</v>
      </c>
      <c r="S144" s="20">
        <f>IF(S$2='[5]5 цех result'!$C16,'[5]5 цех_CapEx'!K16,0)</f>
        <v>0</v>
      </c>
      <c r="T144" s="20">
        <f>IF(S$2&gt;='[5]5 цех result'!$D16,'[5]5 цех_CapEx'!K16,0)</f>
        <v>56861.279098284067</v>
      </c>
      <c r="U144" s="20" t="str">
        <f>IF(S$2&gt;='[5]5 цех result'!$C16,$AK144,"")</f>
        <v xml:space="preserve">                                                                                                          Блок ВВ-35 кВ - 3 шт.; ВВ-6 кВ - 9 шт.</v>
      </c>
      <c r="V144" s="20">
        <f>IF(V$2='[5]5 цех result'!$C16,'[5]5 цех_CapEx'!L16,0)</f>
        <v>0</v>
      </c>
      <c r="W144" s="20">
        <f>IF(V$2&gt;='[5]5 цех result'!$D16,'[5]5 цех_CapEx'!L16,0)</f>
        <v>0</v>
      </c>
      <c r="X144" s="20" t="str">
        <f>IF(V$2&gt;='[5]5 цех result'!$C16,$AK144,"")</f>
        <v xml:space="preserve">                                                                                                          Блок ВВ-35 кВ - 3 шт.; ВВ-6 кВ - 9 шт.</v>
      </c>
      <c r="Y144" s="20">
        <f>IF(Y$2='[5]5 цех result'!$C16,'[5]5 цех_CapEx'!M16,0)</f>
        <v>0</v>
      </c>
      <c r="Z144" s="20">
        <f>IF(Y$2&gt;='[5]5 цех result'!$D16,'[5]5 цех_CapEx'!M16,0)</f>
        <v>0</v>
      </c>
      <c r="AA144" s="20" t="str">
        <f>IF(Y$2&gt;='[5]5 цех result'!$C16,$AK144,"")</f>
        <v xml:space="preserve">                                                                                                          Блок ВВ-35 кВ - 3 шт.; ВВ-6 кВ - 9 шт.</v>
      </c>
      <c r="AB144" s="20">
        <f>IF(AB$2='[5]5 цех result'!$C16,'[5]5 цех_CapEx'!N16,0)</f>
        <v>0</v>
      </c>
      <c r="AC144" s="20">
        <f>IF(AB$2&gt;='[5]5 цех result'!$D16,'[5]5 цех_CapEx'!N16,0)</f>
        <v>0</v>
      </c>
      <c r="AD144" s="20" t="str">
        <f>IF(AB$2&gt;='[5]5 цех result'!$C16,$AK144,"")</f>
        <v xml:space="preserve">                                                                                                          Блок ВВ-35 кВ - 3 шт.; ВВ-6 кВ - 9 шт.</v>
      </c>
      <c r="AE144" s="20">
        <f>IF(AE$2='[5]5 цех result'!$C16,'[5]5 цех_CapEx'!O16,0)</f>
        <v>0</v>
      </c>
      <c r="AF144" s="20">
        <f>IF(AE$2&gt;='[5]5 цех result'!$D16,'[5]5 цех_CapEx'!O16,0)</f>
        <v>0</v>
      </c>
      <c r="AG144" s="20" t="str">
        <f>IF(AE$2&gt;='[5]5 цех result'!$C16,$AK144,"")</f>
        <v xml:space="preserve">                                                                                                          Блок ВВ-35 кВ - 3 шт.; ВВ-6 кВ - 9 шт.</v>
      </c>
      <c r="AH144" s="20">
        <f>IF(AH$2='[5]5 цех result'!$C16,'[5]5 цех_CapEx'!P16,0)</f>
        <v>0</v>
      </c>
      <c r="AI144" s="20">
        <f>IF(AH$2&gt;='[5]5 цех result'!$D16,'[5]5 цех_CapEx'!P16,0)</f>
        <v>0</v>
      </c>
      <c r="AJ144" s="20" t="str">
        <f>IF(AH$2&gt;='[5]5 цех result'!$C16,$AK144,"")</f>
        <v xml:space="preserve">                                                                                                          Блок ВВ-35 кВ - 3 шт.; ВВ-6 кВ - 9 шт.</v>
      </c>
      <c r="AK144" s="12" t="s">
        <v>141</v>
      </c>
      <c r="AL144" s="19"/>
      <c r="AM144" s="71">
        <f t="shared" si="9"/>
        <v>58430.879745164828</v>
      </c>
      <c r="AN144" s="71">
        <f>'[5]5 цех_CapEx'!$V16</f>
        <v>58430.879745164828</v>
      </c>
      <c r="AO144" s="71">
        <f t="shared" si="10"/>
        <v>0</v>
      </c>
      <c r="AP144" s="54" t="s">
        <v>263</v>
      </c>
      <c r="AQ144" s="81" t="s">
        <v>255</v>
      </c>
    </row>
    <row r="145" spans="1:43" ht="60">
      <c r="A145" s="78">
        <v>116</v>
      </c>
      <c r="B145" s="19" t="str">
        <f>'[5]5 цех_CapEx'!$B17</f>
        <v>ПС 35/6 кВ 2500 кВА "Кротково-Алешкино"</v>
      </c>
      <c r="C145" s="32">
        <f>'[5]5 цех_CapEx'!$W17</f>
        <v>1</v>
      </c>
      <c r="D145" s="20">
        <f>IF(D$2='[5]5 цех result'!$C17,'[5]5 цех_CapEx'!F17,0)</f>
        <v>0</v>
      </c>
      <c r="E145" s="20">
        <f>IF(D$2&gt;='[5]5 цех result'!$D17,'[5]5 цех_CapEx'!F17,0)</f>
        <v>0</v>
      </c>
      <c r="F145" s="20" t="str">
        <f>IF(D$2&gt;='[5]5 цех result'!$C17,$AK145,"")</f>
        <v/>
      </c>
      <c r="G145" s="20">
        <f>IF(G$2='[5]5 цех result'!$C17,'[5]5 цех_CapEx'!G17,0)</f>
        <v>0</v>
      </c>
      <c r="H145" s="20">
        <f>IF(G$2&gt;='[5]5 цех result'!$D17,'[5]5 цех_CapEx'!G17,0)</f>
        <v>0</v>
      </c>
      <c r="I145" s="20" t="str">
        <f>IF(G$2&gt;='[5]5 цех result'!$C17,$AK145,"")</f>
        <v/>
      </c>
      <c r="J145" s="20">
        <f>IF(J$2='[5]5 цех result'!$C17,'[5]5 цех_CapEx'!H17,0)</f>
        <v>0</v>
      </c>
      <c r="K145" s="20">
        <f>IF(J$2&gt;='[5]5 цех result'!$D17,'[5]5 цех_CapEx'!H17,0)</f>
        <v>0</v>
      </c>
      <c r="L145" s="20" t="str">
        <f>IF(J$2&gt;='[5]5 цех result'!$C17,$AK145,"")</f>
        <v/>
      </c>
      <c r="M145" s="20">
        <f>IF(M$2='[5]5 цех result'!$C17,'[5]5 цех_CapEx'!I17,0)</f>
        <v>0</v>
      </c>
      <c r="N145" s="20">
        <f>IF(M$2&gt;='[5]5 цех result'!$D17,'[5]5 цех_CapEx'!I17,0)</f>
        <v>0</v>
      </c>
      <c r="O145" s="20" t="str">
        <f>IF(M$2&gt;='[5]5 цех result'!$C17,$AK145,"")</f>
        <v/>
      </c>
      <c r="P145" s="20">
        <f>IF(P$2='[5]5 цех result'!$C17,'[5]5 цех_CapEx'!J17,0)</f>
        <v>0</v>
      </c>
      <c r="Q145" s="20">
        <f>IF(P$2&gt;='[5]5 цех result'!$D17,'[5]5 цех_CapEx'!J17,0)</f>
        <v>0</v>
      </c>
      <c r="R145" s="20" t="str">
        <f>IF(P$2&gt;='[5]5 цех result'!$C17,$AK145,"")</f>
        <v/>
      </c>
      <c r="S145" s="20">
        <f>IF(S$2='[5]5 цех result'!$C17,'[5]5 цех_CapEx'!K17,0)</f>
        <v>1028.9472262184927</v>
      </c>
      <c r="T145" s="20">
        <f>IF(S$2&gt;='[5]5 цех result'!$D17,'[5]5 цех_CapEx'!K17,0)</f>
        <v>0</v>
      </c>
      <c r="U145" s="20" t="str">
        <f>IF(S$2&gt;='[5]5 цех result'!$C17,$AK145,"")</f>
        <v>КРУ- 10 ячеек</v>
      </c>
      <c r="V145" s="20">
        <f>IF(V$2='[5]5 цех result'!$C17,'[5]5 цех_CapEx'!L17,0)</f>
        <v>0</v>
      </c>
      <c r="W145" s="20">
        <f>IF(V$2&gt;='[5]5 цех result'!$D17,'[5]5 цех_CapEx'!L17,0)</f>
        <v>34932.758330117824</v>
      </c>
      <c r="X145" s="20" t="str">
        <f>IF(V$2&gt;='[5]5 цех result'!$C17,$AK145,"")</f>
        <v>КРУ- 10 ячеек</v>
      </c>
      <c r="Y145" s="20">
        <f>IF(Y$2='[5]5 цех result'!$C17,'[5]5 цех_CapEx'!M17,0)</f>
        <v>0</v>
      </c>
      <c r="Z145" s="20">
        <f>IF(Y$2&gt;='[5]5 цех result'!$D17,'[5]5 цех_CapEx'!M17,0)</f>
        <v>0</v>
      </c>
      <c r="AA145" s="20" t="str">
        <f>IF(Y$2&gt;='[5]5 цех result'!$C17,$AK145,"")</f>
        <v>КРУ- 10 ячеек</v>
      </c>
      <c r="AB145" s="20">
        <f>IF(AB$2='[5]5 цех result'!$C17,'[5]5 цех_CapEx'!N17,0)</f>
        <v>0</v>
      </c>
      <c r="AC145" s="20">
        <f>IF(AB$2&gt;='[5]5 цех result'!$D17,'[5]5 цех_CapEx'!N17,0)</f>
        <v>0</v>
      </c>
      <c r="AD145" s="20" t="str">
        <f>IF(AB$2&gt;='[5]5 цех result'!$C17,$AK145,"")</f>
        <v>КРУ- 10 ячеек</v>
      </c>
      <c r="AE145" s="20">
        <f>IF(AE$2='[5]5 цех result'!$C17,'[5]5 цех_CapEx'!O17,0)</f>
        <v>0</v>
      </c>
      <c r="AF145" s="20">
        <f>IF(AE$2&gt;='[5]5 цех result'!$D17,'[5]5 цех_CapEx'!O17,0)</f>
        <v>0</v>
      </c>
      <c r="AG145" s="20" t="str">
        <f>IF(AE$2&gt;='[5]5 цех result'!$C17,$AK145,"")</f>
        <v>КРУ- 10 ячеек</v>
      </c>
      <c r="AH145" s="20">
        <f>IF(AH$2='[5]5 цех result'!$C17,'[5]5 цех_CapEx'!P17,0)</f>
        <v>0</v>
      </c>
      <c r="AI145" s="20">
        <f>IF(AH$2&gt;='[5]5 цех result'!$D17,'[5]5 цех_CapEx'!P17,0)</f>
        <v>0</v>
      </c>
      <c r="AJ145" s="20" t="str">
        <f>IF(AH$2&gt;='[5]5 цех result'!$C17,$AK145,"")</f>
        <v>КРУ- 10 ячеек</v>
      </c>
      <c r="AK145" s="12" t="s">
        <v>142</v>
      </c>
      <c r="AL145" s="19"/>
      <c r="AM145" s="71">
        <f t="shared" si="9"/>
        <v>35961.705556336317</v>
      </c>
      <c r="AN145" s="71">
        <f>'[5]5 цех_CapEx'!$V17</f>
        <v>35961.705556336317</v>
      </c>
      <c r="AO145" s="71">
        <f t="shared" si="10"/>
        <v>0</v>
      </c>
      <c r="AP145" s="54" t="s">
        <v>264</v>
      </c>
      <c r="AQ145" s="81" t="s">
        <v>255</v>
      </c>
    </row>
    <row r="146" spans="1:43" ht="75">
      <c r="A146" s="78">
        <v>117</v>
      </c>
      <c r="B146" s="19" t="str">
        <f>'[5]5 цех_CapEx'!$B18</f>
        <v xml:space="preserve"> ПС 35/6 кВ «Боголюбовка»</v>
      </c>
      <c r="C146" s="32">
        <f>'[5]5 цех_CapEx'!$W18</f>
        <v>1</v>
      </c>
      <c r="D146" s="20">
        <f>IF(D$2='[5]5 цех result'!$C18,'[5]5 цех_CapEx'!F18,0)</f>
        <v>0</v>
      </c>
      <c r="E146" s="20">
        <f>IF(D$2&gt;='[5]5 цех result'!$D18,'[5]5 цех_CapEx'!F18,0)</f>
        <v>0</v>
      </c>
      <c r="F146" s="20" t="str">
        <f>IF(D$2&gt;='[5]5 цех result'!$C18,$AK146,"")</f>
        <v/>
      </c>
      <c r="G146" s="20">
        <f>IF(G$2='[5]5 цех result'!$C18,'[5]5 цех_CapEx'!G18,0)</f>
        <v>0</v>
      </c>
      <c r="H146" s="20">
        <f>IF(G$2&gt;='[5]5 цех result'!$D18,'[5]5 цех_CapEx'!G18,0)</f>
        <v>0</v>
      </c>
      <c r="I146" s="20" t="str">
        <f>IF(G$2&gt;='[5]5 цех result'!$C18,$AK146,"")</f>
        <v/>
      </c>
      <c r="J146" s="20">
        <f>IF(J$2='[5]5 цех result'!$C18,'[5]5 цех_CapEx'!H18,0)</f>
        <v>717.64006965839985</v>
      </c>
      <c r="K146" s="20">
        <f>IF(J$2&gt;='[5]5 цех result'!$D18,'[5]5 цех_CapEx'!H18,0)</f>
        <v>0</v>
      </c>
      <c r="L146" s="20" t="str">
        <f>IF(J$2&gt;='[5]5 цех result'!$C18,$AK146,"")</f>
        <v>Установка Т-1-Т 35/6 кВ 4000 кВт</v>
      </c>
      <c r="M146" s="20">
        <f>IF(M$2='[5]5 цех result'!$C18,'[5]5 цех_CapEx'!I18,0)</f>
        <v>0</v>
      </c>
      <c r="N146" s="20">
        <f>IF(M$2&gt;='[5]5 цех result'!$D18,'[5]5 цех_CapEx'!I18,0)</f>
        <v>12216.745725829773</v>
      </c>
      <c r="O146" s="20" t="str">
        <f>IF(M$2&gt;='[5]5 цех result'!$C18,$AK146,"")</f>
        <v>Установка Т-1-Т 35/6 кВ 4000 кВт</v>
      </c>
      <c r="P146" s="20">
        <f>IF(P$2='[5]5 цех result'!$C18,'[5]5 цех_CapEx'!J18,0)</f>
        <v>0</v>
      </c>
      <c r="Q146" s="20">
        <f>IF(P$2&gt;='[5]5 цех result'!$D18,'[5]5 цех_CapEx'!J18,0)</f>
        <v>12974.183960831218</v>
      </c>
      <c r="R146" s="20" t="str">
        <f>IF(P$2&gt;='[5]5 цех result'!$C18,$AK146,"")</f>
        <v>Установка Т-1-Т 35/6 кВ 4000 кВт</v>
      </c>
      <c r="S146" s="20">
        <f>IF(S$2='[5]5 цех result'!$C18,'[5]5 цех_CapEx'!K18,0)</f>
        <v>0</v>
      </c>
      <c r="T146" s="20">
        <f>IF(S$2&gt;='[5]5 цех result'!$D18,'[5]5 цех_CapEx'!K18,0)</f>
        <v>0</v>
      </c>
      <c r="U146" s="20" t="str">
        <f>IF(S$2&gt;='[5]5 цех result'!$C18,$AK146,"")</f>
        <v>Установка Т-1-Т 35/6 кВ 4000 кВт</v>
      </c>
      <c r="V146" s="20">
        <f>IF(V$2='[5]5 цех result'!$C18,'[5]5 цех_CapEx'!L18,0)</f>
        <v>0</v>
      </c>
      <c r="W146" s="20">
        <f>IF(V$2&gt;='[5]5 цех result'!$D18,'[5]5 цех_CapEx'!L18,0)</f>
        <v>0</v>
      </c>
      <c r="X146" s="20" t="str">
        <f>IF(V$2&gt;='[5]5 цех result'!$C18,$AK146,"")</f>
        <v>Установка Т-1-Т 35/6 кВ 4000 кВт</v>
      </c>
      <c r="Y146" s="20">
        <f>IF(Y$2='[5]5 цех result'!$C18,'[5]5 цех_CapEx'!M18,0)</f>
        <v>0</v>
      </c>
      <c r="Z146" s="20">
        <f>IF(Y$2&gt;='[5]5 цех result'!$D18,'[5]5 цех_CapEx'!M18,0)</f>
        <v>0</v>
      </c>
      <c r="AA146" s="20" t="str">
        <f>IF(Y$2&gt;='[5]5 цех result'!$C18,$AK146,"")</f>
        <v>Установка Т-1-Т 35/6 кВ 4000 кВт</v>
      </c>
      <c r="AB146" s="20">
        <f>IF(AB$2='[5]5 цех result'!$C18,'[5]5 цех_CapEx'!N18,0)</f>
        <v>0</v>
      </c>
      <c r="AC146" s="20">
        <f>IF(AB$2&gt;='[5]5 цех result'!$D18,'[5]5 цех_CapEx'!N18,0)</f>
        <v>0</v>
      </c>
      <c r="AD146" s="20" t="str">
        <f>IF(AB$2&gt;='[5]5 цех result'!$C18,$AK146,"")</f>
        <v>Установка Т-1-Т 35/6 кВ 4000 кВт</v>
      </c>
      <c r="AE146" s="20">
        <f>IF(AE$2='[5]5 цех result'!$C18,'[5]5 цех_CapEx'!O18,0)</f>
        <v>0</v>
      </c>
      <c r="AF146" s="20">
        <f>IF(AE$2&gt;='[5]5 цех result'!$D18,'[5]5 цех_CapEx'!O18,0)</f>
        <v>0</v>
      </c>
      <c r="AG146" s="20" t="str">
        <f>IF(AE$2&gt;='[5]5 цех result'!$C18,$AK146,"")</f>
        <v>Установка Т-1-Т 35/6 кВ 4000 кВт</v>
      </c>
      <c r="AH146" s="20">
        <f>IF(AH$2='[5]5 цех result'!$C18,'[5]5 цех_CapEx'!P18,0)</f>
        <v>0</v>
      </c>
      <c r="AI146" s="20">
        <f>IF(AH$2&gt;='[5]5 цех result'!$D18,'[5]5 цех_CapEx'!P18,0)</f>
        <v>0</v>
      </c>
      <c r="AJ146" s="20" t="str">
        <f>IF(AH$2&gt;='[5]5 цех result'!$C18,$AK146,"")</f>
        <v>Установка Т-1-Т 35/6 кВ 4000 кВт</v>
      </c>
      <c r="AK146" s="12" t="s">
        <v>150</v>
      </c>
      <c r="AL146" s="19"/>
      <c r="AM146" s="71">
        <f t="shared" si="9"/>
        <v>25908.56975631939</v>
      </c>
      <c r="AN146" s="71">
        <f>'[5]5 цех_CapEx'!$V18</f>
        <v>25908.56975631939</v>
      </c>
      <c r="AO146" s="71">
        <f t="shared" si="10"/>
        <v>0</v>
      </c>
      <c r="AP146" s="56" t="s">
        <v>265</v>
      </c>
      <c r="AQ146" s="81" t="s">
        <v>255</v>
      </c>
    </row>
    <row r="147" spans="1:43" s="38" customFormat="1" hidden="1">
      <c r="A147" s="78">
        <f>A146+1</f>
        <v>118</v>
      </c>
      <c r="B147" s="27" t="s">
        <v>18</v>
      </c>
      <c r="C147" s="41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30"/>
      <c r="AL147" s="27"/>
      <c r="AM147" s="27"/>
      <c r="AN147" s="27"/>
      <c r="AO147" s="27"/>
      <c r="AP147" s="61"/>
      <c r="AQ147" s="77"/>
    </row>
    <row r="148" spans="1:43" ht="60">
      <c r="A148" s="78">
        <v>118</v>
      </c>
      <c r="B148" s="19" t="str">
        <f>'[5]5 цех_CapEx'!$B20</f>
        <v>ПС 35/6кВ 2х2500кВА "Сологаевка"</v>
      </c>
      <c r="C148" s="32">
        <f>'[5]5 цех_CapEx'!$W20</f>
        <v>1</v>
      </c>
      <c r="D148" s="20">
        <f>IF(D$2='[5]5 цех result'!$C20,'[5]5 цех_CapEx'!F20,0)</f>
        <v>0</v>
      </c>
      <c r="E148" s="20">
        <f>IF(D$2&gt;='[5]5 цех result'!$D20,'[5]5 цех_CapEx'!F20,0)</f>
        <v>0</v>
      </c>
      <c r="F148" s="20" t="str">
        <f>IF(D$2&gt;='[5]5 цех result'!$C20,$AK148,"")</f>
        <v/>
      </c>
      <c r="G148" s="20">
        <f>IF(G$2='[5]5 цех result'!$C20,'[5]5 цех_CapEx'!G20,0)</f>
        <v>0</v>
      </c>
      <c r="H148" s="20">
        <f>IF(G$2&gt;='[5]5 цех result'!$D20,'[5]5 цех_CapEx'!G20,0)</f>
        <v>0</v>
      </c>
      <c r="I148" s="20" t="str">
        <f>IF(G$2&gt;='[5]5 цех result'!$C20,$AK148,"")</f>
        <v/>
      </c>
      <c r="J148" s="20">
        <f>IF(J$2='[5]5 цех result'!$C20,'[5]5 цех_CapEx'!H20,0)</f>
        <v>0</v>
      </c>
      <c r="K148" s="20">
        <f>IF(J$2&gt;='[5]5 цех result'!$D20,'[5]5 цех_CapEx'!H20,0)</f>
        <v>0</v>
      </c>
      <c r="L148" s="20" t="str">
        <f>IF(J$2&gt;='[5]5 цех result'!$C20,$AK148,"")</f>
        <v/>
      </c>
      <c r="M148" s="20">
        <f>IF(M$2='[5]5 цех result'!$C20,'[5]5 цех_CapEx'!I20,0)</f>
        <v>4.5782367337979997</v>
      </c>
      <c r="N148" s="20">
        <f>IF(M$2&gt;='[5]5 цех result'!$D20,'[5]5 цех_CapEx'!I20,0)</f>
        <v>0</v>
      </c>
      <c r="O148" s="20" t="str">
        <f>IF(M$2&gt;='[5]5 цех result'!$C20,$AK148,"")</f>
        <v xml:space="preserve">Монтаж АВР 6кВ
</v>
      </c>
      <c r="P148" s="20">
        <f>IF(P$2='[5]5 цех result'!$C20,'[5]5 цех_CapEx'!J20,0)</f>
        <v>0</v>
      </c>
      <c r="Q148" s="20">
        <f>IF(P$2&gt;='[5]5 цех result'!$D20,'[5]5 цех_CapEx'!J20,0)</f>
        <v>0</v>
      </c>
      <c r="R148" s="20" t="str">
        <f>IF(P$2&gt;='[5]5 цех result'!$C20,$AK148,"")</f>
        <v xml:space="preserve">Монтаж АВР 6кВ
</v>
      </c>
      <c r="S148" s="20">
        <f>IF(S$2='[5]5 цех result'!$C20,'[5]5 цех_CapEx'!K20,0)</f>
        <v>0</v>
      </c>
      <c r="T148" s="20">
        <f>IF(S$2&gt;='[5]5 цех result'!$D20,'[5]5 цех_CapEx'!K20,0)</f>
        <v>165.85390507823928</v>
      </c>
      <c r="U148" s="20" t="str">
        <f>IF(S$2&gt;='[5]5 цех result'!$C20,$AK148,"")</f>
        <v xml:space="preserve">Монтаж АВР 6кВ
</v>
      </c>
      <c r="V148" s="20">
        <f>IF(V$2='[5]5 цех result'!$C20,'[5]5 цех_CapEx'!L20,0)</f>
        <v>0</v>
      </c>
      <c r="W148" s="20">
        <f>IF(V$2&gt;='[5]5 цех result'!$D20,'[5]5 цех_CapEx'!L20,0)</f>
        <v>0</v>
      </c>
      <c r="X148" s="20" t="str">
        <f>IF(V$2&gt;='[5]5 цех result'!$C20,$AK148,"")</f>
        <v xml:space="preserve">Монтаж АВР 6кВ
</v>
      </c>
      <c r="Y148" s="20">
        <f>IF(Y$2='[5]5 цех result'!$C20,'[5]5 цех_CapEx'!M20,0)</f>
        <v>0</v>
      </c>
      <c r="Z148" s="20">
        <f>IF(Y$2&gt;='[5]5 цех result'!$D20,'[5]5 цех_CapEx'!M20,0)</f>
        <v>0</v>
      </c>
      <c r="AA148" s="20" t="str">
        <f>IF(Y$2&gt;='[5]5 цех result'!$C20,$AK148,"")</f>
        <v xml:space="preserve">Монтаж АВР 6кВ
</v>
      </c>
      <c r="AB148" s="20">
        <f>IF(AB$2='[5]5 цех result'!$C20,'[5]5 цех_CapEx'!N20,0)</f>
        <v>0</v>
      </c>
      <c r="AC148" s="20">
        <f>IF(AB$2&gt;='[5]5 цех result'!$D20,'[5]5 цех_CapEx'!N20,0)</f>
        <v>0</v>
      </c>
      <c r="AD148" s="20" t="str">
        <f>IF(AB$2&gt;='[5]5 цех result'!$C20,$AK148,"")</f>
        <v xml:space="preserve">Монтаж АВР 6кВ
</v>
      </c>
      <c r="AE148" s="20">
        <f>IF(AE$2='[5]5 цех result'!$C20,'[5]5 цех_CapEx'!O20,0)</f>
        <v>0</v>
      </c>
      <c r="AF148" s="20">
        <f>IF(AE$2&gt;='[5]5 цех result'!$D20,'[5]5 цех_CapEx'!O20,0)</f>
        <v>0</v>
      </c>
      <c r="AG148" s="20" t="str">
        <f>IF(AE$2&gt;='[5]5 цех result'!$C20,$AK148,"")</f>
        <v xml:space="preserve">Монтаж АВР 6кВ
</v>
      </c>
      <c r="AH148" s="20">
        <f>IF(AH$2='[5]5 цех result'!$C20,'[5]5 цех_CapEx'!P20,0)</f>
        <v>0</v>
      </c>
      <c r="AI148" s="20">
        <f>IF(AH$2&gt;='[5]5 цех result'!$D20,'[5]5 цех_CapEx'!P20,0)</f>
        <v>0</v>
      </c>
      <c r="AJ148" s="20" t="str">
        <f>IF(AH$2&gt;='[5]5 цех result'!$C20,$AK148,"")</f>
        <v xml:space="preserve">Монтаж АВР 6кВ
</v>
      </c>
      <c r="AK148" s="12" t="s">
        <v>171</v>
      </c>
      <c r="AL148" s="19"/>
      <c r="AM148" s="71">
        <f t="shared" ref="AM148:AM159" si="11">SUM(D148:AJ148)</f>
        <v>170.43214181203729</v>
      </c>
      <c r="AN148" s="71">
        <f>'[5]5 цех_CapEx'!$V20</f>
        <v>170.43214181203729</v>
      </c>
      <c r="AO148" s="71">
        <f t="shared" ref="AO148:AO159" si="12">AM148-AN148</f>
        <v>0</v>
      </c>
      <c r="AP148" s="56" t="s">
        <v>260</v>
      </c>
      <c r="AQ148" s="81" t="s">
        <v>255</v>
      </c>
    </row>
    <row r="149" spans="1:43" ht="90">
      <c r="A149" s="78">
        <v>119</v>
      </c>
      <c r="B149" s="19" t="str">
        <f>'[5]5 цех_CapEx'!$B21</f>
        <v>ПС 35/6 кВ 2х 2500кВА Дерюжевка</v>
      </c>
      <c r="C149" s="32">
        <f>'[5]5 цех_CapEx'!$W21</f>
        <v>1</v>
      </c>
      <c r="D149" s="20">
        <f>IF(D$2='[5]5 цех result'!$C21,'[5]5 цех_CapEx'!F21,0)</f>
        <v>0</v>
      </c>
      <c r="E149" s="20">
        <f>IF(D$2&gt;='[5]5 цех result'!$D21,'[5]5 цех_CapEx'!F21,0)</f>
        <v>0</v>
      </c>
      <c r="F149" s="20" t="str">
        <f>IF(D$2&gt;='[5]5 цех result'!$C21,$AK149,"")</f>
        <v/>
      </c>
      <c r="G149" s="20">
        <f>IF(G$2='[5]5 цех result'!$C21,'[5]5 цех_CapEx'!G21,0)</f>
        <v>0</v>
      </c>
      <c r="H149" s="20">
        <f>IF(G$2&gt;='[5]5 цех result'!$D21,'[5]5 цех_CapEx'!G21,0)</f>
        <v>0</v>
      </c>
      <c r="I149" s="20" t="str">
        <f>IF(G$2&gt;='[5]5 цех result'!$C21,$AK149,"")</f>
        <v/>
      </c>
      <c r="J149" s="20">
        <f>IF(J$2='[5]5 цех result'!$C21,'[5]5 цех_CapEx'!H21,0)</f>
        <v>77.323397483999997</v>
      </c>
      <c r="K149" s="20">
        <f>IF(J$2&gt;='[5]5 цех result'!$D21,'[5]5 цех_CapEx'!H21,0)</f>
        <v>0</v>
      </c>
      <c r="L149" s="20" t="str">
        <f>IF(J$2&gt;='[5]5 цех result'!$C21,$AK149,"")</f>
        <v>Установка автоматики дистанционного управления В-35 Сарбай (на ПС 35/6 кВ «Мочалеевка»)</v>
      </c>
      <c r="M149" s="20">
        <f>IF(M$2='[5]5 цех result'!$C21,'[5]5 цех_CapEx'!I21,0)</f>
        <v>0</v>
      </c>
      <c r="N149" s="20">
        <f>IF(M$2&gt;='[5]5 цех result'!$D21,'[5]5 цех_CapEx'!I21,0)</f>
        <v>2632.6297141377477</v>
      </c>
      <c r="O149" s="20" t="str">
        <f>IF(M$2&gt;='[5]5 цех result'!$C21,$AK149,"")</f>
        <v>Установка автоматики дистанционного управления В-35 Сарбай (на ПС 35/6 кВ «Мочалеевка»)</v>
      </c>
      <c r="P149" s="20">
        <f>IF(P$2='[5]5 цех result'!$C21,'[5]5 цех_CapEx'!J21,0)</f>
        <v>0</v>
      </c>
      <c r="Q149" s="20">
        <f>IF(P$2&gt;='[5]5 цех result'!$D21,'[5]5 цех_CapEx'!J21,0)</f>
        <v>0</v>
      </c>
      <c r="R149" s="20" t="str">
        <f>IF(P$2&gt;='[5]5 цех result'!$C21,$AK149,"")</f>
        <v>Установка автоматики дистанционного управления В-35 Сарбай (на ПС 35/6 кВ «Мочалеевка»)</v>
      </c>
      <c r="S149" s="20">
        <f>IF(S$2='[5]5 цех result'!$C21,'[5]5 цех_CapEx'!K21,0)</f>
        <v>0</v>
      </c>
      <c r="T149" s="20">
        <f>IF(S$2&gt;='[5]5 цех result'!$D21,'[5]5 цех_CapEx'!K21,0)</f>
        <v>0</v>
      </c>
      <c r="U149" s="20" t="str">
        <f>IF(S$2&gt;='[5]5 цех result'!$C21,$AK149,"")</f>
        <v>Установка автоматики дистанционного управления В-35 Сарбай (на ПС 35/6 кВ «Мочалеевка»)</v>
      </c>
      <c r="V149" s="20">
        <f>IF(V$2='[5]5 цех result'!$C21,'[5]5 цех_CapEx'!L21,0)</f>
        <v>0</v>
      </c>
      <c r="W149" s="20">
        <f>IF(V$2&gt;='[5]5 цех result'!$D21,'[5]5 цех_CapEx'!L21,0)</f>
        <v>0</v>
      </c>
      <c r="X149" s="20" t="str">
        <f>IF(V$2&gt;='[5]5 цех result'!$C21,$AK149,"")</f>
        <v>Установка автоматики дистанционного управления В-35 Сарбай (на ПС 35/6 кВ «Мочалеевка»)</v>
      </c>
      <c r="Y149" s="20">
        <f>IF(Y$2='[5]5 цех result'!$C21,'[5]5 цех_CapEx'!M21,0)</f>
        <v>0</v>
      </c>
      <c r="Z149" s="20">
        <f>IF(Y$2&gt;='[5]5 цех result'!$D21,'[5]5 цех_CapEx'!M21,0)</f>
        <v>0</v>
      </c>
      <c r="AA149" s="20" t="str">
        <f>IF(Y$2&gt;='[5]5 цех result'!$C21,$AK149,"")</f>
        <v>Установка автоматики дистанционного управления В-35 Сарбай (на ПС 35/6 кВ «Мочалеевка»)</v>
      </c>
      <c r="AB149" s="20">
        <f>IF(AB$2='[5]5 цех result'!$C21,'[5]5 цех_CapEx'!N21,0)</f>
        <v>0</v>
      </c>
      <c r="AC149" s="20">
        <f>IF(AB$2&gt;='[5]5 цех result'!$D21,'[5]5 цех_CapEx'!N21,0)</f>
        <v>0</v>
      </c>
      <c r="AD149" s="20" t="str">
        <f>IF(AB$2&gt;='[5]5 цех result'!$C21,$AK149,"")</f>
        <v>Установка автоматики дистанционного управления В-35 Сарбай (на ПС 35/6 кВ «Мочалеевка»)</v>
      </c>
      <c r="AE149" s="20">
        <f>IF(AE$2='[5]5 цех result'!$C21,'[5]5 цех_CapEx'!O21,0)</f>
        <v>0</v>
      </c>
      <c r="AF149" s="20">
        <f>IF(AE$2&gt;='[5]5 цех result'!$D21,'[5]5 цех_CapEx'!O21,0)</f>
        <v>0</v>
      </c>
      <c r="AG149" s="20" t="str">
        <f>IF(AE$2&gt;='[5]5 цех result'!$C21,$AK149,"")</f>
        <v>Установка автоматики дистанционного управления В-35 Сарбай (на ПС 35/6 кВ «Мочалеевка»)</v>
      </c>
      <c r="AH149" s="20">
        <f>IF(AH$2='[5]5 цех result'!$C21,'[5]5 цех_CapEx'!P21,0)</f>
        <v>0</v>
      </c>
      <c r="AI149" s="20">
        <f>IF(AH$2&gt;='[5]5 цех result'!$D21,'[5]5 цех_CapEx'!P21,0)</f>
        <v>0</v>
      </c>
      <c r="AJ149" s="20" t="str">
        <f>IF(AH$2&gt;='[5]5 цех result'!$C21,$AK149,"")</f>
        <v>Установка автоматики дистанционного управления В-35 Сарбай (на ПС 35/6 кВ «Мочалеевка»)</v>
      </c>
      <c r="AK149" s="12" t="s">
        <v>137</v>
      </c>
      <c r="AL149" s="19"/>
      <c r="AM149" s="71">
        <f t="shared" si="11"/>
        <v>2709.9531116217477</v>
      </c>
      <c r="AN149" s="71">
        <f>'[5]5 цех_CapEx'!$V21</f>
        <v>2709.9531116217477</v>
      </c>
      <c r="AO149" s="71">
        <f t="shared" si="12"/>
        <v>0</v>
      </c>
      <c r="AP149" s="66" t="s">
        <v>256</v>
      </c>
      <c r="AQ149" s="81" t="s">
        <v>255</v>
      </c>
    </row>
    <row r="150" spans="1:43" ht="90">
      <c r="A150" s="78">
        <v>120</v>
      </c>
      <c r="B150" s="19" t="str">
        <f>'[5]5 цех_CapEx'!$B22</f>
        <v>ПС 35/6 кВ 2х 4000кВА Мочалеевка</v>
      </c>
      <c r="C150" s="32">
        <f>'[5]5 цех_CapEx'!$W22</f>
        <v>1</v>
      </c>
      <c r="D150" s="20">
        <f>IF(D$2='[5]5 цех result'!$C22,'[5]5 цех_CapEx'!F22,0)</f>
        <v>0</v>
      </c>
      <c r="E150" s="20">
        <f>IF(D$2&gt;='[5]5 цех result'!$D22,'[5]5 цех_CapEx'!F22,0)</f>
        <v>0</v>
      </c>
      <c r="F150" s="20" t="str">
        <f>IF(D$2&gt;='[5]5 цех result'!$C22,$AK150,"")</f>
        <v/>
      </c>
      <c r="G150" s="20">
        <f>IF(G$2='[5]5 цех result'!$C22,'[5]5 цех_CapEx'!G22,0)</f>
        <v>0</v>
      </c>
      <c r="H150" s="20">
        <f>IF(G$2&gt;='[5]5 цех result'!$D22,'[5]5 цех_CapEx'!G22,0)</f>
        <v>0</v>
      </c>
      <c r="I150" s="20" t="str">
        <f>IF(G$2&gt;='[5]5 цех result'!$C22,$AK150,"")</f>
        <v/>
      </c>
      <c r="J150" s="20">
        <f>IF(J$2='[5]5 цех result'!$C22,'[5]5 цех_CapEx'!H22,0)</f>
        <v>0</v>
      </c>
      <c r="K150" s="20">
        <f>IF(J$2&gt;='[5]5 цех result'!$D22,'[5]5 цех_CapEx'!H22,0)</f>
        <v>0</v>
      </c>
      <c r="L150" s="20" t="str">
        <f>IF(J$2&gt;='[5]5 цех result'!$C22,$AK150,"")</f>
        <v/>
      </c>
      <c r="M150" s="20">
        <f>IF(M$2='[5]5 цех result'!$C22,'[5]5 цех_CapEx'!I22,0)</f>
        <v>0</v>
      </c>
      <c r="N150" s="20">
        <f>IF(M$2&gt;='[5]5 цех result'!$D22,'[5]5 цех_CapEx'!I22,0)</f>
        <v>0</v>
      </c>
      <c r="O150" s="20" t="str">
        <f>IF(M$2&gt;='[5]5 цех result'!$C22,$AK150,"")</f>
        <v/>
      </c>
      <c r="P150" s="20">
        <f>IF(P$2='[5]5 цех result'!$C22,'[5]5 цех_CapEx'!J22,0)</f>
        <v>0</v>
      </c>
      <c r="Q150" s="20">
        <f>IF(P$2&gt;='[5]5 цех result'!$D22,'[5]5 цех_CapEx'!J22,0)</f>
        <v>0</v>
      </c>
      <c r="R150" s="20" t="str">
        <f>IF(P$2&gt;='[5]5 цех result'!$C22,$AK150,"")</f>
        <v/>
      </c>
      <c r="S150" s="20">
        <f>IF(S$2='[5]5 цех result'!$C22,'[5]5 цех_CapEx'!K22,0)</f>
        <v>91.225504887126007</v>
      </c>
      <c r="T150" s="20">
        <f>IF(S$2&gt;='[5]5 цех result'!$D22,'[5]5 цех_CapEx'!K22,0)</f>
        <v>0</v>
      </c>
      <c r="U150" s="20" t="str">
        <f>IF(S$2&gt;='[5]5 цех result'!$C22,$AK150,"")</f>
        <v xml:space="preserve">
Установка автоматики дистанционного управления В-35 Сарбай (на ПС 35/6 кВ «Мочалеевка»)</v>
      </c>
      <c r="V150" s="20">
        <f>IF(V$2='[5]5 цех result'!$C22,'[5]5 цех_CapEx'!L22,0)</f>
        <v>0</v>
      </c>
      <c r="W150" s="20">
        <f>IF(V$2&gt;='[5]5 цех result'!$D22,'[5]5 цех_CapEx'!L22,0)</f>
        <v>0</v>
      </c>
      <c r="X150" s="20" t="str">
        <f>IF(V$2&gt;='[5]5 цех result'!$C22,$AK150,"")</f>
        <v xml:space="preserve">
Установка автоматики дистанционного управления В-35 Сарбай (на ПС 35/6 кВ «Мочалеевка»)</v>
      </c>
      <c r="Y150" s="20">
        <f>IF(Y$2='[5]5 цех result'!$C22,'[5]5 цех_CapEx'!M22,0)</f>
        <v>0</v>
      </c>
      <c r="Z150" s="20">
        <f>IF(Y$2&gt;='[5]5 цех result'!$D22,'[5]5 цех_CapEx'!M22,0)</f>
        <v>3159.0480087362862</v>
      </c>
      <c r="AA150" s="20" t="str">
        <f>IF(Y$2&gt;='[5]5 цех result'!$C22,$AK150,"")</f>
        <v xml:space="preserve">
Установка автоматики дистанционного управления В-35 Сарбай (на ПС 35/6 кВ «Мочалеевка»)</v>
      </c>
      <c r="AB150" s="20">
        <f>IF(AB$2='[5]5 цех result'!$C22,'[5]5 цех_CapEx'!N22,0)</f>
        <v>0</v>
      </c>
      <c r="AC150" s="20">
        <f>IF(AB$2&gt;='[5]5 цех result'!$D22,'[5]5 цех_CapEx'!N22,0)</f>
        <v>0</v>
      </c>
      <c r="AD150" s="20" t="str">
        <f>IF(AB$2&gt;='[5]5 цех result'!$C22,$AK150,"")</f>
        <v xml:space="preserve">
Установка автоматики дистанционного управления В-35 Сарбай (на ПС 35/6 кВ «Мочалеевка»)</v>
      </c>
      <c r="AE150" s="20">
        <f>IF(AE$2='[5]5 цех result'!$C22,'[5]5 цех_CapEx'!O22,0)</f>
        <v>0</v>
      </c>
      <c r="AF150" s="20">
        <f>IF(AE$2&gt;='[5]5 цех result'!$D22,'[5]5 цех_CapEx'!O22,0)</f>
        <v>0</v>
      </c>
      <c r="AG150" s="20" t="str">
        <f>IF(AE$2&gt;='[5]5 цех result'!$C22,$AK150,"")</f>
        <v xml:space="preserve">
Установка автоматики дистанционного управления В-35 Сарбай (на ПС 35/6 кВ «Мочалеевка»)</v>
      </c>
      <c r="AH150" s="20">
        <f>IF(AH$2='[5]5 цех result'!$C22,'[5]5 цех_CapEx'!P22,0)</f>
        <v>0</v>
      </c>
      <c r="AI150" s="20">
        <f>IF(AH$2&gt;='[5]5 цех result'!$D22,'[5]5 цех_CapEx'!P22,0)</f>
        <v>0</v>
      </c>
      <c r="AJ150" s="20" t="str">
        <f>IF(AH$2&gt;='[5]5 цех result'!$C22,$AK150,"")</f>
        <v xml:space="preserve">
Установка автоматики дистанционного управления В-35 Сарбай (на ПС 35/6 кВ «Мочалеевка»)</v>
      </c>
      <c r="AK150" s="12" t="s">
        <v>145</v>
      </c>
      <c r="AL150" s="19"/>
      <c r="AM150" s="71">
        <f t="shared" si="11"/>
        <v>3250.2735136234123</v>
      </c>
      <c r="AN150" s="71">
        <f>'[5]5 цех_CapEx'!$V22</f>
        <v>3250.2735136234123</v>
      </c>
      <c r="AO150" s="71">
        <f t="shared" si="12"/>
        <v>0</v>
      </c>
      <c r="AP150" s="66" t="s">
        <v>258</v>
      </c>
      <c r="AQ150" s="81" t="s">
        <v>255</v>
      </c>
    </row>
    <row r="151" spans="1:43" ht="60">
      <c r="A151" s="78">
        <v>121</v>
      </c>
      <c r="B151" s="19" t="str">
        <f>'[5]5 цех_CapEx'!$B23</f>
        <v>ПС 35/6 кВ 2х 4000кВА Теребилово</v>
      </c>
      <c r="C151" s="32">
        <f>'[5]5 цех_CapEx'!$W23</f>
        <v>1</v>
      </c>
      <c r="D151" s="20">
        <f>IF(D$2='[5]5 цех result'!$C23,'[5]5 цех_CapEx'!F23,0)</f>
        <v>0</v>
      </c>
      <c r="E151" s="20">
        <f>IF(D$2&gt;='[5]5 цех result'!$D23,'[5]5 цех_CapEx'!F23,0)</f>
        <v>0</v>
      </c>
      <c r="F151" s="20" t="str">
        <f>IF(D$2&gt;='[5]5 цех result'!$C23,$AK151,"")</f>
        <v/>
      </c>
      <c r="G151" s="20">
        <f>IF(G$2='[5]5 цех result'!$C23,'[5]5 цех_CapEx'!G23,0)</f>
        <v>0</v>
      </c>
      <c r="H151" s="20">
        <f>IF(G$2&gt;='[5]5 цех result'!$D23,'[5]5 цех_CapEx'!G23,0)</f>
        <v>0</v>
      </c>
      <c r="I151" s="20" t="str">
        <f>IF(G$2&gt;='[5]5 цех result'!$C23,$AK151,"")</f>
        <v/>
      </c>
      <c r="J151" s="20">
        <f>IF(J$2='[5]5 цех result'!$C23,'[5]5 цех_CapEx'!H23,0)</f>
        <v>0</v>
      </c>
      <c r="K151" s="20">
        <f>IF(J$2&gt;='[5]5 цех result'!$D23,'[5]5 цех_CapEx'!H23,0)</f>
        <v>0</v>
      </c>
      <c r="L151" s="20" t="str">
        <f>IF(J$2&gt;='[5]5 цех result'!$C23,$AK151,"")</f>
        <v/>
      </c>
      <c r="M151" s="20">
        <f>IF(M$2='[5]5 цех result'!$C23,'[5]5 цех_CapEx'!I23,0)</f>
        <v>549.65012406212372</v>
      </c>
      <c r="N151" s="20">
        <f>IF(M$2&gt;='[5]5 цех result'!$D23,'[5]5 цех_CapEx'!I23,0)</f>
        <v>0</v>
      </c>
      <c r="O151" s="20" t="str">
        <f>IF(M$2&gt;='[5]5 цех result'!$C23,$AK151,"")</f>
        <v>Строительство ШМ 35 кВ на ПС 35/6 кВ «Теребилово» с установкой СВ-35</v>
      </c>
      <c r="P151" s="20">
        <f>IF(P$2='[5]5 цех result'!$C23,'[5]5 цех_CapEx'!J23,0)</f>
        <v>0</v>
      </c>
      <c r="Q151" s="20">
        <f>IF(P$2&gt;='[5]5 цех result'!$D23,'[5]5 цех_CapEx'!J23,0)</f>
        <v>0</v>
      </c>
      <c r="R151" s="20" t="str">
        <f>IF(P$2&gt;='[5]5 цех result'!$C23,$AK151,"")</f>
        <v>Строительство ШМ 35 кВ на ПС 35/6 кВ «Теребилово» с установкой СВ-35</v>
      </c>
      <c r="S151" s="20">
        <f>IF(S$2='[5]5 цех result'!$C23,'[5]5 цех_CapEx'!K23,0)</f>
        <v>0</v>
      </c>
      <c r="T151" s="20">
        <f>IF(S$2&gt;='[5]5 цех result'!$D23,'[5]5 цех_CapEx'!K23,0)</f>
        <v>15978.255036258208</v>
      </c>
      <c r="U151" s="20" t="str">
        <f>IF(S$2&gt;='[5]5 цех result'!$C23,$AK151,"")</f>
        <v>Строительство ШМ 35 кВ на ПС 35/6 кВ «Теребилово» с установкой СВ-35</v>
      </c>
      <c r="V151" s="20">
        <f>IF(V$2='[5]5 цех result'!$C23,'[5]5 цех_CapEx'!L23,0)</f>
        <v>0</v>
      </c>
      <c r="W151" s="20">
        <f>IF(V$2&gt;='[5]5 цех result'!$D23,'[5]5 цех_CapEx'!L23,0)</f>
        <v>0</v>
      </c>
      <c r="X151" s="20" t="str">
        <f>IF(V$2&gt;='[5]5 цех result'!$C23,$AK151,"")</f>
        <v>Строительство ШМ 35 кВ на ПС 35/6 кВ «Теребилово» с установкой СВ-35</v>
      </c>
      <c r="Y151" s="20">
        <f>IF(Y$2='[5]5 цех result'!$C23,'[5]5 цех_CapEx'!M23,0)</f>
        <v>0</v>
      </c>
      <c r="Z151" s="20">
        <f>IF(Y$2&gt;='[5]5 цех result'!$D23,'[5]5 цех_CapEx'!M23,0)</f>
        <v>0</v>
      </c>
      <c r="AA151" s="20" t="str">
        <f>IF(Y$2&gt;='[5]5 цех result'!$C23,$AK151,"")</f>
        <v>Строительство ШМ 35 кВ на ПС 35/6 кВ «Теребилово» с установкой СВ-35</v>
      </c>
      <c r="AB151" s="20">
        <f>IF(AB$2='[5]5 цех result'!$C23,'[5]5 цех_CapEx'!N23,0)</f>
        <v>0</v>
      </c>
      <c r="AC151" s="20">
        <f>IF(AB$2&gt;='[5]5 цех result'!$D23,'[5]5 цех_CapEx'!N23,0)</f>
        <v>0</v>
      </c>
      <c r="AD151" s="20" t="str">
        <f>IF(AB$2&gt;='[5]5 цех result'!$C23,$AK151,"")</f>
        <v>Строительство ШМ 35 кВ на ПС 35/6 кВ «Теребилово» с установкой СВ-35</v>
      </c>
      <c r="AE151" s="20">
        <f>IF(AE$2='[5]5 цех result'!$C23,'[5]5 цех_CapEx'!O23,0)</f>
        <v>0</v>
      </c>
      <c r="AF151" s="20">
        <f>IF(AE$2&gt;='[5]5 цех result'!$D23,'[5]5 цех_CapEx'!O23,0)</f>
        <v>0</v>
      </c>
      <c r="AG151" s="20" t="str">
        <f>IF(AE$2&gt;='[5]5 цех result'!$C23,$AK151,"")</f>
        <v>Строительство ШМ 35 кВ на ПС 35/6 кВ «Теребилово» с установкой СВ-35</v>
      </c>
      <c r="AH151" s="20">
        <f>IF(AH$2='[5]5 цех result'!$C23,'[5]5 цех_CapEx'!P23,0)</f>
        <v>0</v>
      </c>
      <c r="AI151" s="20">
        <f>IF(AH$2&gt;='[5]5 цех result'!$D23,'[5]5 цех_CapEx'!P23,0)</f>
        <v>0</v>
      </c>
      <c r="AJ151" s="20" t="str">
        <f>IF(AH$2&gt;='[5]5 цех result'!$C23,$AK151,"")</f>
        <v>Строительство ШМ 35 кВ на ПС 35/6 кВ «Теребилово» с установкой СВ-35</v>
      </c>
      <c r="AK151" s="12" t="s">
        <v>135</v>
      </c>
      <c r="AL151" s="19"/>
      <c r="AM151" s="71">
        <f t="shared" si="11"/>
        <v>16527.905160320333</v>
      </c>
      <c r="AN151" s="71">
        <f>'[5]5 цех_CapEx'!$V23</f>
        <v>16527.905160320333</v>
      </c>
      <c r="AO151" s="71">
        <f t="shared" si="12"/>
        <v>0</v>
      </c>
      <c r="AP151" s="56" t="s">
        <v>254</v>
      </c>
      <c r="AQ151" s="81" t="s">
        <v>255</v>
      </c>
    </row>
    <row r="152" spans="1:43" ht="30">
      <c r="A152" s="78">
        <v>122</v>
      </c>
      <c r="B152" s="19" t="str">
        <f>'[5]5 цех_CapEx'!$B24</f>
        <v>ПС 35/6 кВ 1х 4000кВА    Аманак</v>
      </c>
      <c r="C152" s="32">
        <f>'[5]5 цех_CapEx'!$W24</f>
        <v>1</v>
      </c>
      <c r="D152" s="20">
        <f>IF(D$2='[5]5 цех result'!$C24,'[5]5 цех_CapEx'!F24,0)</f>
        <v>0</v>
      </c>
      <c r="E152" s="20">
        <f>IF(D$2&gt;='[5]5 цех result'!$D24,'[5]5 цех_CapEx'!F24,0)</f>
        <v>0</v>
      </c>
      <c r="F152" s="20" t="str">
        <f>IF(D$2&gt;='[5]5 цех result'!$C24,$AK152,"")</f>
        <v/>
      </c>
      <c r="G152" s="20">
        <f>IF(G$2='[5]5 цех result'!$C24,'[5]5 цех_CapEx'!G24,0)</f>
        <v>0</v>
      </c>
      <c r="H152" s="20">
        <f>IF(G$2&gt;='[5]5 цех result'!$D24,'[5]5 цех_CapEx'!G24,0)</f>
        <v>0</v>
      </c>
      <c r="I152" s="20" t="str">
        <f>IF(G$2&gt;='[5]5 цех result'!$C24,$AK152,"")</f>
        <v/>
      </c>
      <c r="J152" s="20">
        <f>IF(J$2='[5]5 цех result'!$C24,'[5]5 цех_CapEx'!H24,0)</f>
        <v>0</v>
      </c>
      <c r="K152" s="20">
        <f>IF(J$2&gt;='[5]5 цех result'!$D24,'[5]5 цех_CapEx'!H24,0)</f>
        <v>0</v>
      </c>
      <c r="L152" s="20" t="str">
        <f>IF(J$2&gt;='[5]5 цех result'!$C24,$AK152,"")</f>
        <v/>
      </c>
      <c r="M152" s="20">
        <f>IF(M$2='[5]5 цех result'!$C24,'[5]5 цех_CapEx'!I24,0)</f>
        <v>0</v>
      </c>
      <c r="N152" s="20">
        <f>IF(M$2&gt;='[5]5 цех result'!$D24,'[5]5 цех_CapEx'!I24,0)</f>
        <v>0</v>
      </c>
      <c r="O152" s="20" t="str">
        <f>IF(M$2&gt;='[5]5 цех result'!$C24,$AK152,"")</f>
        <v/>
      </c>
      <c r="P152" s="20">
        <f>IF(P$2='[5]5 цех result'!$C24,'[5]5 цех_CapEx'!J24,0)</f>
        <v>0</v>
      </c>
      <c r="Q152" s="20">
        <f>IF(P$2&gt;='[5]5 цех result'!$D24,'[5]5 цех_CapEx'!J24,0)</f>
        <v>0</v>
      </c>
      <c r="R152" s="20" t="str">
        <f>IF(P$2&gt;='[5]5 цех result'!$C24,$AK152,"")</f>
        <v/>
      </c>
      <c r="S152" s="20">
        <f>IF(S$2='[5]5 цех result'!$C24,'[5]5 цех_CapEx'!K24,0)</f>
        <v>380.45848880088835</v>
      </c>
      <c r="T152" s="20">
        <f>IF(S$2&gt;='[5]5 цех result'!$D24,'[5]5 цех_CapEx'!K24,0)</f>
        <v>0</v>
      </c>
      <c r="U152" s="20" t="str">
        <f>IF(S$2&gt;='[5]5 цех result'!$C24,$AK152,"")</f>
        <v xml:space="preserve">замена  В-35 1шт. </v>
      </c>
      <c r="V152" s="20">
        <f>IF(V$2='[5]5 цех result'!$C24,'[5]5 цех_CapEx'!L24,0)</f>
        <v>0</v>
      </c>
      <c r="W152" s="20">
        <f>IF(V$2&gt;='[5]5 цех result'!$D24,'[5]5 цех_CapEx'!L24,0)</f>
        <v>0</v>
      </c>
      <c r="X152" s="20" t="str">
        <f>IF(V$2&gt;='[5]5 цех result'!$C24,$AK152,"")</f>
        <v xml:space="preserve">замена  В-35 1шт. </v>
      </c>
      <c r="Y152" s="20">
        <f>IF(Y$2='[5]5 цех result'!$C24,'[5]5 цех_CapEx'!M24,0)</f>
        <v>0</v>
      </c>
      <c r="Z152" s="20">
        <f>IF(Y$2&gt;='[5]5 цех result'!$D24,'[5]5 цех_CapEx'!M24,0)</f>
        <v>13174.897008685963</v>
      </c>
      <c r="AA152" s="20" t="str">
        <f>IF(Y$2&gt;='[5]5 цех result'!$C24,$AK152,"")</f>
        <v xml:space="preserve">замена  В-35 1шт. </v>
      </c>
      <c r="AB152" s="20">
        <f>IF(AB$2='[5]5 цех result'!$C24,'[5]5 цех_CapEx'!N24,0)</f>
        <v>0</v>
      </c>
      <c r="AC152" s="20">
        <f>IF(AB$2&gt;='[5]5 цех result'!$D24,'[5]5 цех_CapEx'!N24,0)</f>
        <v>0</v>
      </c>
      <c r="AD152" s="20" t="str">
        <f>IF(AB$2&gt;='[5]5 цех result'!$C24,$AK152,"")</f>
        <v xml:space="preserve">замена  В-35 1шт. </v>
      </c>
      <c r="AE152" s="20">
        <f>IF(AE$2='[5]5 цех result'!$C24,'[5]5 цех_CapEx'!O24,0)</f>
        <v>0</v>
      </c>
      <c r="AF152" s="20">
        <f>IF(AE$2&gt;='[5]5 цех result'!$D24,'[5]5 цех_CapEx'!O24,0)</f>
        <v>0</v>
      </c>
      <c r="AG152" s="20" t="str">
        <f>IF(AE$2&gt;='[5]5 цех result'!$C24,$AK152,"")</f>
        <v xml:space="preserve">замена  В-35 1шт. </v>
      </c>
      <c r="AH152" s="20">
        <f>IF(AH$2='[5]5 цех result'!$C24,'[5]5 цех_CapEx'!P24,0)</f>
        <v>0</v>
      </c>
      <c r="AI152" s="20">
        <f>IF(AH$2&gt;='[5]5 цех result'!$D24,'[5]5 цех_CapEx'!P24,0)</f>
        <v>0</v>
      </c>
      <c r="AJ152" s="20" t="str">
        <f>IF(AH$2&gt;='[5]5 цех result'!$C24,$AK152,"")</f>
        <v xml:space="preserve">замена  В-35 1шт. </v>
      </c>
      <c r="AK152" s="12" t="s">
        <v>143</v>
      </c>
      <c r="AL152" s="19"/>
      <c r="AM152" s="71">
        <f t="shared" si="11"/>
        <v>13555.355497486851</v>
      </c>
      <c r="AN152" s="71">
        <f>'[5]5 цех_CapEx'!$V24</f>
        <v>13555.355497486851</v>
      </c>
      <c r="AO152" s="71">
        <f t="shared" si="12"/>
        <v>0</v>
      </c>
      <c r="AP152" s="66" t="s">
        <v>259</v>
      </c>
      <c r="AQ152" s="81" t="s">
        <v>255</v>
      </c>
    </row>
    <row r="153" spans="1:43" ht="90">
      <c r="A153" s="78">
        <v>123</v>
      </c>
      <c r="B153" s="19" t="str">
        <f>'[5]5 цех_CapEx'!$B25</f>
        <v>ПС 35/6 кВ 2х 4000кВА Ключевская</v>
      </c>
      <c r="C153" s="32">
        <f>'[5]5 цех_CapEx'!$W25</f>
        <v>1</v>
      </c>
      <c r="D153" s="20">
        <f>IF(D$2='[5]5 цех result'!$C25,'[5]5 цех_CapEx'!F25,0)</f>
        <v>0</v>
      </c>
      <c r="E153" s="20">
        <f>IF(D$2&gt;='[5]5 цех result'!$D25,'[5]5 цех_CapEx'!F25,0)</f>
        <v>0</v>
      </c>
      <c r="F153" s="20" t="str">
        <f>IF(D$2&gt;='[5]5 цех result'!$C25,$AK153,"")</f>
        <v/>
      </c>
      <c r="G153" s="20">
        <f>IF(G$2='[5]5 цех result'!$C25,'[5]5 цех_CapEx'!G25,0)</f>
        <v>0</v>
      </c>
      <c r="H153" s="20">
        <f>IF(G$2&gt;='[5]5 цех result'!$D25,'[5]5 цех_CapEx'!G25,0)</f>
        <v>0</v>
      </c>
      <c r="I153" s="20" t="str">
        <f>IF(G$2&gt;='[5]5 цех result'!$C25,$AK153,"")</f>
        <v/>
      </c>
      <c r="J153" s="20">
        <f>IF(J$2='[5]5 цех result'!$C25,'[5]5 цех_CapEx'!H25,0)</f>
        <v>0</v>
      </c>
      <c r="K153" s="20">
        <f>IF(J$2&gt;='[5]5 цех result'!$D25,'[5]5 цех_CapEx'!H25,0)</f>
        <v>0</v>
      </c>
      <c r="L153" s="20" t="str">
        <f>IF(J$2&gt;='[5]5 цех result'!$C25,$AK153,"")</f>
        <v/>
      </c>
      <c r="M153" s="20">
        <f>IF(M$2='[5]5 цех result'!$C25,'[5]5 цех_CapEx'!I25,0)</f>
        <v>0</v>
      </c>
      <c r="N153" s="20">
        <f>IF(M$2&gt;='[5]5 цех result'!$D25,'[5]5 цех_CapEx'!I25,0)</f>
        <v>0</v>
      </c>
      <c r="O153" s="20" t="str">
        <f>IF(M$2&gt;='[5]5 цех result'!$C25,$AK153,"")</f>
        <v/>
      </c>
      <c r="P153" s="20">
        <f>IF(P$2='[5]5 цех result'!$C25,'[5]5 цех_CapEx'!J25,0)</f>
        <v>360.01120038395749</v>
      </c>
      <c r="Q153" s="20">
        <f>IF(P$2&gt;='[5]5 цех result'!$D25,'[5]5 цех_CapEx'!J25,0)</f>
        <v>0</v>
      </c>
      <c r="R153" s="20" t="str">
        <f>IF(P$2&gt;='[5]5 цех result'!$C25,$AK153,"")</f>
        <v xml:space="preserve">
Переустройство ОРУ 35 по схеме 35-9 с установкой ВВ-35 кВ - 1 шт.  Монтаж АВР 6 кВ</v>
      </c>
      <c r="S153" s="20">
        <f>IF(S$2='[5]5 цех result'!$C25,'[5]5 цех_CapEx'!K25,0)</f>
        <v>0</v>
      </c>
      <c r="T153" s="20">
        <f>IF(S$2&gt;='[5]5 цех result'!$D25,'[5]5 цех_CapEx'!K25,0)</f>
        <v>12280.582063764095</v>
      </c>
      <c r="U153" s="20" t="str">
        <f>IF(S$2&gt;='[5]5 цех result'!$C25,$AK153,"")</f>
        <v xml:space="preserve">
Переустройство ОРУ 35 по схеме 35-9 с установкой ВВ-35 кВ - 1 шт.  Монтаж АВР 6 кВ</v>
      </c>
      <c r="V153" s="20">
        <f>IF(V$2='[5]5 цех result'!$C25,'[5]5 цех_CapEx'!L25,0)</f>
        <v>0</v>
      </c>
      <c r="W153" s="20">
        <f>IF(V$2&gt;='[5]5 цех result'!$D25,'[5]5 цех_CapEx'!L25,0)</f>
        <v>0</v>
      </c>
      <c r="X153" s="20" t="str">
        <f>IF(V$2&gt;='[5]5 цех result'!$C25,$AK153,"")</f>
        <v xml:space="preserve">
Переустройство ОРУ 35 по схеме 35-9 с установкой ВВ-35 кВ - 1 шт.  Монтаж АВР 6 кВ</v>
      </c>
      <c r="Y153" s="20">
        <f>IF(Y$2='[5]5 цех result'!$C25,'[5]5 цех_CapEx'!M25,0)</f>
        <v>0</v>
      </c>
      <c r="Z153" s="20">
        <f>IF(Y$2&gt;='[5]5 цех result'!$D25,'[5]5 цех_CapEx'!M25,0)</f>
        <v>0</v>
      </c>
      <c r="AA153" s="20" t="str">
        <f>IF(Y$2&gt;='[5]5 цех result'!$C25,$AK153,"")</f>
        <v xml:space="preserve">
Переустройство ОРУ 35 по схеме 35-9 с установкой ВВ-35 кВ - 1 шт.  Монтаж АВР 6 кВ</v>
      </c>
      <c r="AB153" s="20">
        <f>IF(AB$2='[5]5 цех result'!$C25,'[5]5 цех_CapEx'!N25,0)</f>
        <v>0</v>
      </c>
      <c r="AC153" s="20">
        <f>IF(AB$2&gt;='[5]5 цех result'!$D25,'[5]5 цех_CapEx'!N25,0)</f>
        <v>0</v>
      </c>
      <c r="AD153" s="20" t="str">
        <f>IF(AB$2&gt;='[5]5 цех result'!$C25,$AK153,"")</f>
        <v xml:space="preserve">
Переустройство ОРУ 35 по схеме 35-9 с установкой ВВ-35 кВ - 1 шт.  Монтаж АВР 6 кВ</v>
      </c>
      <c r="AE153" s="20">
        <f>IF(AE$2='[5]5 цех result'!$C25,'[5]5 цех_CapEx'!O25,0)</f>
        <v>0</v>
      </c>
      <c r="AF153" s="20">
        <f>IF(AE$2&gt;='[5]5 цех result'!$D25,'[5]5 цех_CapEx'!O25,0)</f>
        <v>0</v>
      </c>
      <c r="AG153" s="20" t="str">
        <f>IF(AE$2&gt;='[5]5 цех result'!$C25,$AK153,"")</f>
        <v xml:space="preserve">
Переустройство ОРУ 35 по схеме 35-9 с установкой ВВ-35 кВ - 1 шт.  Монтаж АВР 6 кВ</v>
      </c>
      <c r="AH153" s="20">
        <f>IF(AH$2='[5]5 цех result'!$C25,'[5]5 цех_CapEx'!P25,0)</f>
        <v>0</v>
      </c>
      <c r="AI153" s="20">
        <f>IF(AH$2&gt;='[5]5 цех result'!$D25,'[5]5 цех_CapEx'!P25,0)</f>
        <v>0</v>
      </c>
      <c r="AJ153" s="20" t="str">
        <f>IF(AH$2&gt;='[5]5 цех result'!$C25,$AK153,"")</f>
        <v xml:space="preserve">
Переустройство ОРУ 35 по схеме 35-9 с установкой ВВ-35 кВ - 1 шт.  Монтаж АВР 6 кВ</v>
      </c>
      <c r="AK153" s="12" t="s">
        <v>139</v>
      </c>
      <c r="AL153" s="19"/>
      <c r="AM153" s="71">
        <f t="shared" si="11"/>
        <v>12640.593264148052</v>
      </c>
      <c r="AN153" s="71">
        <f>'[5]5 цех_CapEx'!$V25</f>
        <v>12640.593264148052</v>
      </c>
      <c r="AO153" s="71">
        <f t="shared" si="12"/>
        <v>0</v>
      </c>
      <c r="AP153" s="56" t="s">
        <v>261</v>
      </c>
      <c r="AQ153" s="81" t="s">
        <v>255</v>
      </c>
    </row>
    <row r="154" spans="1:43" ht="105">
      <c r="A154" s="78">
        <v>124</v>
      </c>
      <c r="B154" s="19" t="str">
        <f>'[5]5 цех_CapEx'!$B26</f>
        <v>ПС 35/6 кВ 1х 3150кВА Кротково-Алешкино</v>
      </c>
      <c r="C154" s="32">
        <f>'[5]5 цех_CapEx'!$W26</f>
        <v>1</v>
      </c>
      <c r="D154" s="20">
        <f>IF(D$2='[5]5 цех result'!$C26,'[5]5 цех_CapEx'!F26,0)</f>
        <v>0</v>
      </c>
      <c r="E154" s="20">
        <f>IF(D$2&gt;='[5]5 цех result'!$D26,'[5]5 цех_CapEx'!F26,0)</f>
        <v>0</v>
      </c>
      <c r="F154" s="20" t="str">
        <f>IF(D$2&gt;='[5]5 цех result'!$C26,$AK154,"")</f>
        <v/>
      </c>
      <c r="G154" s="20">
        <f>IF(G$2='[5]5 цех result'!$C26,'[5]5 цех_CapEx'!G26,0)</f>
        <v>0</v>
      </c>
      <c r="H154" s="20">
        <f>IF(G$2&gt;='[5]5 цех result'!$D26,'[5]5 цех_CapEx'!G26,0)</f>
        <v>0</v>
      </c>
      <c r="I154" s="20" t="str">
        <f>IF(G$2&gt;='[5]5 цех result'!$C26,$AK154,"")</f>
        <v/>
      </c>
      <c r="J154" s="20">
        <f>IF(J$2='[5]5 цех result'!$C26,'[5]5 цех_CapEx'!H26,0)</f>
        <v>0</v>
      </c>
      <c r="K154" s="20">
        <f>IF(J$2&gt;='[5]5 цех result'!$D26,'[5]5 цех_CapEx'!H26,0)</f>
        <v>0</v>
      </c>
      <c r="L154" s="20" t="str">
        <f>IF(J$2&gt;='[5]5 цех result'!$C26,$AK154,"")</f>
        <v/>
      </c>
      <c r="M154" s="20">
        <f>IF(M$2='[5]5 цех result'!$C26,'[5]5 цех_CapEx'!I26,0)</f>
        <v>0</v>
      </c>
      <c r="N154" s="20">
        <f>IF(M$2&gt;='[5]5 цех result'!$D26,'[5]5 цех_CapEx'!I26,0)</f>
        <v>0</v>
      </c>
      <c r="O154" s="20" t="str">
        <f>IF(M$2&gt;='[5]5 цех result'!$C26,$AK154,"")</f>
        <v/>
      </c>
      <c r="P154" s="20">
        <f>IF(P$2='[5]5 цех result'!$C26,'[5]5 цех_CapEx'!J26,0)</f>
        <v>0</v>
      </c>
      <c r="Q154" s="20">
        <f>IF(P$2&gt;='[5]5 цех result'!$D26,'[5]5 цех_CapEx'!J26,0)</f>
        <v>0</v>
      </c>
      <c r="R154" s="20" t="str">
        <f>IF(P$2&gt;='[5]5 цех result'!$C26,$AK154,"")</f>
        <v/>
      </c>
      <c r="S154" s="20">
        <f>IF(S$2='[5]5 цех result'!$C26,'[5]5 цех_CapEx'!K26,0)</f>
        <v>3159.1022545857168</v>
      </c>
      <c r="T154" s="20">
        <f>IF(S$2&gt;='[5]5 цех result'!$D26,'[5]5 цех_CapEx'!K26,0)</f>
        <v>0</v>
      </c>
      <c r="U154" s="20" t="str">
        <f>IF(S$2&gt;='[5]5 цех result'!$C26,$AK154,"")</f>
        <v>ОРУ-35 кВ по схеме 35-5Н с установкой  ВВ-35 кВ 1000А - 3 шт. 
Строительство ВЛ-35 кВ Кротково-Алешкино - ВЛ Кротково 5 км, АС-95.</v>
      </c>
      <c r="V154" s="20">
        <f>IF(V$2='[5]5 цех result'!$C26,'[5]5 цех_CapEx'!L26,0)</f>
        <v>0</v>
      </c>
      <c r="W154" s="20">
        <f>IF(V$2&gt;='[5]5 цех result'!$D26,'[5]5 цех_CapEx'!L26,0)</f>
        <v>0</v>
      </c>
      <c r="X154" s="20" t="str">
        <f>IF(V$2&gt;='[5]5 цех result'!$C26,$AK154,"")</f>
        <v>ОРУ-35 кВ по схеме 35-5Н с установкой  ВВ-35 кВ 1000А - 3 шт. 
Строительство ВЛ-35 кВ Кротково-Алешкино - ВЛ Кротково 5 км, АС-95.</v>
      </c>
      <c r="Y154" s="20">
        <f>IF(Y$2='[5]5 цех result'!$C26,'[5]5 цех_CapEx'!M26,0)</f>
        <v>0</v>
      </c>
      <c r="Z154" s="20">
        <f>IF(Y$2&gt;='[5]5 цех result'!$D26,'[5]5 цех_CapEx'!M26,0)</f>
        <v>77479.984005470498</v>
      </c>
      <c r="AA154" s="20" t="str">
        <f>IF(Y$2&gt;='[5]5 цех result'!$C26,$AK154,"")</f>
        <v>ОРУ-35 кВ по схеме 35-5Н с установкой  ВВ-35 кВ 1000А - 3 шт. 
Строительство ВЛ-35 кВ Кротково-Алешкино - ВЛ Кротково 5 км, АС-95.</v>
      </c>
      <c r="AB154" s="20">
        <f>IF(AB$2='[5]5 цех result'!$C26,'[5]5 цех_CapEx'!N26,0)</f>
        <v>0</v>
      </c>
      <c r="AC154" s="20">
        <f>IF(AB$2&gt;='[5]5 цех result'!$D26,'[5]5 цех_CapEx'!N26,0)</f>
        <v>0</v>
      </c>
      <c r="AD154" s="20" t="str">
        <f>IF(AB$2&gt;='[5]5 цех result'!$C26,$AK154,"")</f>
        <v>ОРУ-35 кВ по схеме 35-5Н с установкой  ВВ-35 кВ 1000А - 3 шт. 
Строительство ВЛ-35 кВ Кротково-Алешкино - ВЛ Кротково 5 км, АС-95.</v>
      </c>
      <c r="AE154" s="20">
        <f>IF(AE$2='[5]5 цех result'!$C26,'[5]5 цех_CapEx'!O26,0)</f>
        <v>0</v>
      </c>
      <c r="AF154" s="20">
        <f>IF(AE$2&gt;='[5]5 цех result'!$D26,'[5]5 цех_CapEx'!O26,0)</f>
        <v>0</v>
      </c>
      <c r="AG154" s="20" t="str">
        <f>IF(AE$2&gt;='[5]5 цех result'!$C26,$AK154,"")</f>
        <v>ОРУ-35 кВ по схеме 35-5Н с установкой  ВВ-35 кВ 1000А - 3 шт. 
Строительство ВЛ-35 кВ Кротково-Алешкино - ВЛ Кротково 5 км, АС-95.</v>
      </c>
      <c r="AH154" s="20">
        <f>IF(AH$2='[5]5 цех result'!$C26,'[5]5 цех_CapEx'!P26,0)</f>
        <v>0</v>
      </c>
      <c r="AI154" s="20">
        <f>IF(AH$2&gt;='[5]5 цех result'!$D26,'[5]5 цех_CapEx'!P26,0)</f>
        <v>0</v>
      </c>
      <c r="AJ154" s="20" t="str">
        <f>IF(AH$2&gt;='[5]5 цех result'!$C26,$AK154,"")</f>
        <v>ОРУ-35 кВ по схеме 35-5Н с установкой  ВВ-35 кВ 1000А - 3 шт. 
Строительство ВЛ-35 кВ Кротково-Алешкино - ВЛ Кротково 5 км, АС-95.</v>
      </c>
      <c r="AK154" s="12" t="s">
        <v>149</v>
      </c>
      <c r="AL154" s="19"/>
      <c r="AM154" s="71">
        <f t="shared" si="11"/>
        <v>80639.08626005621</v>
      </c>
      <c r="AN154" s="71">
        <f>'[5]5 цех_CapEx'!$V26</f>
        <v>80639.08626005621</v>
      </c>
      <c r="AO154" s="71">
        <f t="shared" si="12"/>
        <v>0</v>
      </c>
      <c r="AP154" s="54" t="s">
        <v>264</v>
      </c>
      <c r="AQ154" s="81" t="s">
        <v>255</v>
      </c>
    </row>
    <row r="155" spans="1:43" ht="195">
      <c r="A155" s="78">
        <v>125</v>
      </c>
      <c r="B155" s="19" t="str">
        <f>'[5]5 цех_CapEx'!$B27</f>
        <v xml:space="preserve">ПС 35/6 кВ 2х 4000кВА  Жуково </v>
      </c>
      <c r="C155" s="32">
        <f>'[5]5 цех_CapEx'!$W27</f>
        <v>1</v>
      </c>
      <c r="D155" s="20">
        <f>IF(D$2='[5]5 цех result'!$C27,'[5]5 цех_CapEx'!F27,0)</f>
        <v>0</v>
      </c>
      <c r="E155" s="20">
        <f>IF(D$2&gt;='[5]5 цех result'!$D27,'[5]5 цех_CapEx'!F27,0)</f>
        <v>0</v>
      </c>
      <c r="F155" s="20" t="str">
        <f>IF(D$2&gt;='[5]5 цех result'!$C27,$AK155,"")</f>
        <v/>
      </c>
      <c r="G155" s="20">
        <f>IF(G$2='[5]5 цех result'!$C27,'[5]5 цех_CapEx'!G27,0)</f>
        <v>0</v>
      </c>
      <c r="H155" s="20">
        <f>IF(G$2&gt;='[5]5 цех result'!$D27,'[5]5 цех_CapEx'!G27,0)</f>
        <v>0</v>
      </c>
      <c r="I155" s="20" t="str">
        <f>IF(G$2&gt;='[5]5 цех result'!$C27,$AK155,"")</f>
        <v/>
      </c>
      <c r="J155" s="20">
        <f>IF(J$2='[5]5 цех result'!$C27,'[5]5 цех_CapEx'!H27,0)</f>
        <v>0</v>
      </c>
      <c r="K155" s="20">
        <f>IF(J$2&gt;='[5]5 цех result'!$D27,'[5]5 цех_CapEx'!H27,0)</f>
        <v>0</v>
      </c>
      <c r="L155" s="20" t="str">
        <f>IF(J$2&gt;='[5]5 цех result'!$C27,$AK155,"")</f>
        <v/>
      </c>
      <c r="M155" s="20">
        <f>IF(M$2='[5]5 цех result'!$C27,'[5]5 цех_CapEx'!I27,0)</f>
        <v>0</v>
      </c>
      <c r="N155" s="20">
        <f>IF(M$2&gt;='[5]5 цех result'!$D27,'[5]5 цех_CapEx'!I27,0)</f>
        <v>0</v>
      </c>
      <c r="O155" s="20" t="str">
        <f>IF(M$2&gt;='[5]5 цех result'!$C27,$AK155,"")</f>
        <v/>
      </c>
      <c r="P155" s="20">
        <f>IF(P$2='[5]5 цех result'!$C27,'[5]5 цех_CapEx'!J27,0)</f>
        <v>0</v>
      </c>
      <c r="Q155" s="20">
        <f>IF(P$2&gt;='[5]5 цех result'!$D27,'[5]5 цех_CapEx'!J27,0)</f>
        <v>0</v>
      </c>
      <c r="R155" s="20" t="str">
        <f>IF(P$2&gt;='[5]5 цех result'!$C27,$AK155,"")</f>
        <v/>
      </c>
      <c r="S155" s="20">
        <f>IF(S$2='[5]5 цех result'!$C27,'[5]5 цех_CapEx'!K27,0)</f>
        <v>6394.9104759965967</v>
      </c>
      <c r="T155" s="20">
        <f>IF(S$2&gt;='[5]5 цех result'!$D27,'[5]5 цех_CapEx'!K27,0)</f>
        <v>0</v>
      </c>
      <c r="U155" s="20" t="str">
        <f>IF(S$2&gt;='[5]5 цех result'!$C27,$AK155,"")</f>
        <v>ОРУ-35 кВ по схеме 35-5Н с установкой   ВВ-35 кВ 1000А - 3 шт.
 На  ПС 110/35/10 кВ "Державинская" расширение РУ-35 кВ  на одну ячейку ВВ-35 кВ 1000А или задействование резервной ячейки.
Строительство ВЛ-35 кВ Жуково-Державино 13 км, АС-95.</v>
      </c>
      <c r="V155" s="20">
        <f>IF(V$2='[5]5 цех result'!$C27,'[5]5 цех_CapEx'!L27,0)</f>
        <v>0</v>
      </c>
      <c r="W155" s="20">
        <f>IF(V$2&gt;='[5]5 цех result'!$D27,'[5]5 цех_CapEx'!L27,0)</f>
        <v>0</v>
      </c>
      <c r="X155" s="20" t="str">
        <f>IF(V$2&gt;='[5]5 цех result'!$C27,$AK155,"")</f>
        <v>ОРУ-35 кВ по схеме 35-5Н с установкой   ВВ-35 кВ 1000А - 3 шт.
 На  ПС 110/35/10 кВ "Державинская" расширение РУ-35 кВ  на одну ячейку ВВ-35 кВ 1000А или задействование резервной ячейки.
Строительство ВЛ-35 кВ Жуково-Державино 13 км, АС-95.</v>
      </c>
      <c r="Y155" s="20">
        <f>IF(Y$2='[5]5 цех result'!$C27,'[5]5 цех_CapEx'!M27,0)</f>
        <v>0</v>
      </c>
      <c r="Z155" s="20">
        <f>IF(Y$2&gt;='[5]5 цех result'!$D27,'[5]5 цех_CapEx'!M27,0)</f>
        <v>138466.27815498254</v>
      </c>
      <c r="AA155" s="20" t="str">
        <f>IF(Y$2&gt;='[5]5 цех result'!$C27,$AK155,"")</f>
        <v>ОРУ-35 кВ по схеме 35-5Н с установкой   ВВ-35 кВ 1000А - 3 шт.
 На  ПС 110/35/10 кВ "Державинская" расширение РУ-35 кВ  на одну ячейку ВВ-35 кВ 1000А или задействование резервной ячейки.
Строительство ВЛ-35 кВ Жуково-Державино 13 км, АС-95.</v>
      </c>
      <c r="AB155" s="20">
        <f>IF(AB$2='[5]5 цех result'!$C27,'[5]5 цех_CapEx'!N27,0)</f>
        <v>0</v>
      </c>
      <c r="AC155" s="20">
        <f>IF(AB$2&gt;='[5]5 цех result'!$D27,'[5]5 цех_CapEx'!N27,0)</f>
        <v>0</v>
      </c>
      <c r="AD155" s="20" t="str">
        <f>IF(AB$2&gt;='[5]5 цех result'!$C27,$AK155,"")</f>
        <v>ОРУ-35 кВ по схеме 35-5Н с установкой   ВВ-35 кВ 1000А - 3 шт.
 На  ПС 110/35/10 кВ "Державинская" расширение РУ-35 кВ  на одну ячейку ВВ-35 кВ 1000А или задействование резервной ячейки.
Строительство ВЛ-35 кВ Жуково-Державино 13 км, АС-95.</v>
      </c>
      <c r="AE155" s="20">
        <f>IF(AE$2='[5]5 цех result'!$C27,'[5]5 цех_CapEx'!O27,0)</f>
        <v>0</v>
      </c>
      <c r="AF155" s="20">
        <f>IF(AE$2&gt;='[5]5 цех result'!$D27,'[5]5 цех_CapEx'!O27,0)</f>
        <v>0</v>
      </c>
      <c r="AG155" s="20" t="str">
        <f>IF(AE$2&gt;='[5]5 цех result'!$C27,$AK155,"")</f>
        <v>ОРУ-35 кВ по схеме 35-5Н с установкой   ВВ-35 кВ 1000А - 3 шт.
 На  ПС 110/35/10 кВ "Державинская" расширение РУ-35 кВ  на одну ячейку ВВ-35 кВ 1000А или задействование резервной ячейки.
Строительство ВЛ-35 кВ Жуково-Державино 13 км, АС-95.</v>
      </c>
      <c r="AH155" s="20">
        <f>IF(AH$2='[5]5 цех result'!$C27,'[5]5 цех_CapEx'!P27,0)</f>
        <v>0</v>
      </c>
      <c r="AI155" s="20">
        <f>IF(AH$2&gt;='[5]5 цех result'!$D27,'[5]5 цех_CapEx'!P27,0)</f>
        <v>0</v>
      </c>
      <c r="AJ155" s="20" t="str">
        <f>IF(AH$2&gt;='[5]5 цех result'!$C27,$AK155,"")</f>
        <v>ОРУ-35 кВ по схеме 35-5Н с установкой   ВВ-35 кВ 1000А - 3 шт.
 На  ПС 110/35/10 кВ "Державинская" расширение РУ-35 кВ  на одну ячейку ВВ-35 кВ 1000А или задействование резервной ячейки.
Строительство ВЛ-35 кВ Жуково-Державино 13 км, АС-95.</v>
      </c>
      <c r="AK155" s="12" t="s">
        <v>140</v>
      </c>
      <c r="AL155" s="19"/>
      <c r="AM155" s="71">
        <f t="shared" si="11"/>
        <v>144861.18863097913</v>
      </c>
      <c r="AN155" s="71">
        <f>'[5]5 цех_CapEx'!$V27</f>
        <v>144861.18863097913</v>
      </c>
      <c r="AO155" s="71">
        <f t="shared" si="12"/>
        <v>0</v>
      </c>
      <c r="AP155" s="56" t="s">
        <v>266</v>
      </c>
      <c r="AQ155" s="81" t="s">
        <v>255</v>
      </c>
    </row>
    <row r="156" spans="1:43" s="37" customFormat="1" ht="135">
      <c r="A156" s="78">
        <v>126</v>
      </c>
      <c r="B156" s="34" t="str">
        <f>'[5]5 цех_CapEx'!$B28</f>
        <v xml:space="preserve">ПС 35/6 кВ 2х 2500кВА Сологаевка </v>
      </c>
      <c r="C156" s="35">
        <f>'[5]5 цех_CapEx'!$W28</f>
        <v>1</v>
      </c>
      <c r="D156" s="36">
        <f>IF(D$2='[5]5 цех result'!$C28,'[5]5 цех_CapEx'!F28,0)</f>
        <v>0</v>
      </c>
      <c r="E156" s="36">
        <f>IF(D$2&gt;='[5]5 цех result'!$D28,'[5]5 цех_CapEx'!F28,0)</f>
        <v>0</v>
      </c>
      <c r="F156" s="36" t="str">
        <f>IF(D$2&gt;='[5]5 цех result'!$C28,$AK156,"")</f>
        <v/>
      </c>
      <c r="G156" s="36">
        <f>IF(G$2='[5]5 цех result'!$C28,'[5]5 цех_CapEx'!G28,0)</f>
        <v>0</v>
      </c>
      <c r="H156" s="36">
        <f>IF(G$2&gt;='[5]5 цех result'!$D28,'[5]5 цех_CapEx'!G28,0)</f>
        <v>0</v>
      </c>
      <c r="I156" s="36" t="str">
        <f>IF(G$2&gt;='[5]5 цех result'!$C28,$AK156,"")</f>
        <v/>
      </c>
      <c r="J156" s="36">
        <f>IF(J$2='[5]5 цех result'!$C28,'[5]5 цех_CapEx'!H28,0)</f>
        <v>0</v>
      </c>
      <c r="K156" s="36">
        <f>IF(J$2&gt;='[5]5 цех result'!$D28,'[5]5 цех_CapEx'!H28,0)</f>
        <v>0</v>
      </c>
      <c r="L156" s="36" t="str">
        <f>IF(J$2&gt;='[5]5 цех result'!$C28,$AK156,"")</f>
        <v/>
      </c>
      <c r="M156" s="36">
        <f>IF(M$2='[5]5 цех result'!$C28,'[5]5 цех_CapEx'!I28,0)</f>
        <v>5764.9950430059307</v>
      </c>
      <c r="N156" s="36">
        <f>IF(M$2&gt;='[5]5 цех result'!$D28,'[5]5 цех_CapEx'!I28,0)</f>
        <v>0</v>
      </c>
      <c r="O156" s="36" t="str">
        <f>IF(M$2&gt;='[5]5 цех result'!$C28,$AK156,"")</f>
        <v>ОРУ-35 кв по схеме  35-9 с установкой ВВ-35 кВ 1000А - 5 шт.
Строительство ВЛ-35кВ  от ВЛ Козловская-Берендеевская до Сологаевки 17 км, АС-95</v>
      </c>
      <c r="P156" s="36">
        <f>IF(P$2='[5]5 цех result'!$C28,'[5]5 цех_CapEx'!J28,0)</f>
        <v>0</v>
      </c>
      <c r="Q156" s="36">
        <f>IF(P$2&gt;='[5]5 цех result'!$D28,'[5]5 цех_CapEx'!J28,0)</f>
        <v>101918.17419859864</v>
      </c>
      <c r="R156" s="36" t="str">
        <f>IF(P$2&gt;='[5]5 цех result'!$C28,$AK156,"")</f>
        <v>ОРУ-35 кв по схеме  35-9 с установкой ВВ-35 кВ 1000А - 5 шт.
Строительство ВЛ-35кВ  от ВЛ Козловская-Берендеевская до Сологаевки 17 км, АС-95</v>
      </c>
      <c r="S156" s="36">
        <f>IF(S$2='[5]5 цех result'!$C28,'[5]5 цех_CapEx'!K28,0)</f>
        <v>0</v>
      </c>
      <c r="T156" s="36">
        <f>IF(S$2&gt;='[5]5 цех result'!$D28,'[5]5 цех_CapEx'!K28,0)</f>
        <v>0</v>
      </c>
      <c r="U156" s="36" t="str">
        <f>IF(S$2&gt;='[5]5 цех result'!$C28,$AK156,"")</f>
        <v>ОРУ-35 кв по схеме  35-9 с установкой ВВ-35 кВ 1000А - 5 шт.
Строительство ВЛ-35кВ  от ВЛ Козловская-Берендеевская до Сологаевки 17 км, АС-95</v>
      </c>
      <c r="V156" s="36">
        <f>IF(V$2='[5]5 цех result'!$C28,'[5]5 цех_CapEx'!L28,0)</f>
        <v>0</v>
      </c>
      <c r="W156" s="36">
        <f>IF(V$2&gt;='[5]5 цех result'!$D28,'[5]5 цех_CapEx'!L28,0)</f>
        <v>0</v>
      </c>
      <c r="X156" s="36" t="str">
        <f>IF(V$2&gt;='[5]5 цех result'!$C28,$AK156,"")</f>
        <v>ОРУ-35 кв по схеме  35-9 с установкой ВВ-35 кВ 1000А - 5 шт.
Строительство ВЛ-35кВ  от ВЛ Козловская-Берендеевская до Сологаевки 17 км, АС-95</v>
      </c>
      <c r="Y156" s="36">
        <f>IF(Y$2='[5]5 цех result'!$C28,'[5]5 цех_CapEx'!M28,0)</f>
        <v>0</v>
      </c>
      <c r="Z156" s="36">
        <f>IF(Y$2&gt;='[5]5 цех result'!$D28,'[5]5 цех_CapEx'!M28,0)</f>
        <v>0</v>
      </c>
      <c r="AA156" s="36" t="str">
        <f>IF(Y$2&gt;='[5]5 цех result'!$C28,$AK156,"")</f>
        <v>ОРУ-35 кв по схеме  35-9 с установкой ВВ-35 кВ 1000А - 5 шт.
Строительство ВЛ-35кВ  от ВЛ Козловская-Берендеевская до Сологаевки 17 км, АС-95</v>
      </c>
      <c r="AB156" s="36">
        <f>IF(AB$2='[5]5 цех result'!$C28,'[5]5 цех_CapEx'!N28,0)</f>
        <v>0</v>
      </c>
      <c r="AC156" s="36">
        <f>IF(AB$2&gt;='[5]5 цех result'!$D28,'[5]5 цех_CapEx'!N28,0)</f>
        <v>0</v>
      </c>
      <c r="AD156" s="36" t="str">
        <f>IF(AB$2&gt;='[5]5 цех result'!$C28,$AK156,"")</f>
        <v>ОРУ-35 кв по схеме  35-9 с установкой ВВ-35 кВ 1000А - 5 шт.
Строительство ВЛ-35кВ  от ВЛ Козловская-Берендеевская до Сологаевки 17 км, АС-95</v>
      </c>
      <c r="AE156" s="36">
        <f>IF(AE$2='[5]5 цех result'!$C28,'[5]5 цех_CapEx'!O28,0)</f>
        <v>0</v>
      </c>
      <c r="AF156" s="36">
        <f>IF(AE$2&gt;='[5]5 цех result'!$D28,'[5]5 цех_CapEx'!O28,0)</f>
        <v>0</v>
      </c>
      <c r="AG156" s="36" t="str">
        <f>IF(AE$2&gt;='[5]5 цех result'!$C28,$AK156,"")</f>
        <v>ОРУ-35 кв по схеме  35-9 с установкой ВВ-35 кВ 1000А - 5 шт.
Строительство ВЛ-35кВ  от ВЛ Козловская-Берендеевская до Сологаевки 17 км, АС-95</v>
      </c>
      <c r="AH156" s="36">
        <f>IF(AH$2='[5]5 цех result'!$C28,'[5]5 цех_CapEx'!P28,0)</f>
        <v>0</v>
      </c>
      <c r="AI156" s="36">
        <f>IF(AH$2&gt;='[5]5 цех result'!$D28,'[5]5 цех_CapEx'!P28,0)</f>
        <v>0</v>
      </c>
      <c r="AJ156" s="36" t="str">
        <f>IF(AH$2&gt;='[5]5 цех result'!$C28,$AK156,"")</f>
        <v>ОРУ-35 кв по схеме  35-9 с установкой ВВ-35 кВ 1000А - 5 шт.
Строительство ВЛ-35кВ  от ВЛ Козловская-Берендеевская до Сологаевки 17 км, АС-95</v>
      </c>
      <c r="AK156" s="12" t="s">
        <v>172</v>
      </c>
      <c r="AL156" s="34"/>
      <c r="AM156" s="72">
        <f t="shared" si="11"/>
        <v>107683.16924160457</v>
      </c>
      <c r="AN156" s="72">
        <f>'[5]5 цех_CapEx'!$V28</f>
        <v>107683.16924160457</v>
      </c>
      <c r="AO156" s="72">
        <f t="shared" si="12"/>
        <v>0</v>
      </c>
      <c r="AP156" s="56" t="s">
        <v>260</v>
      </c>
      <c r="AQ156" s="81" t="s">
        <v>255</v>
      </c>
    </row>
    <row r="157" spans="1:43" ht="180">
      <c r="A157" s="78">
        <v>127</v>
      </c>
      <c r="B157" s="19" t="str">
        <f>'[5]5 цех_CapEx'!$B29</f>
        <v xml:space="preserve">ПС 35/6 кВ 2х 4000кВА    БКНС </v>
      </c>
      <c r="C157" s="32">
        <f>'[5]5 цех_CapEx'!$W29</f>
        <v>1</v>
      </c>
      <c r="D157" s="20">
        <f>IF(D$2='[5]5 цех result'!$C29,'[5]5 цех_CapEx'!F29,0)</f>
        <v>0</v>
      </c>
      <c r="E157" s="20">
        <f>IF(D$2&gt;='[5]5 цех result'!$D29,'[5]5 цех_CapEx'!F29,0)</f>
        <v>0</v>
      </c>
      <c r="F157" s="20" t="str">
        <f>IF(D$2&gt;='[5]5 цех result'!$C29,$AK157,"")</f>
        <v/>
      </c>
      <c r="G157" s="20">
        <f>IF(G$2='[5]5 цех result'!$C29,'[5]5 цех_CapEx'!G29,0)</f>
        <v>0</v>
      </c>
      <c r="H157" s="20">
        <f>IF(G$2&gt;='[5]5 цех result'!$D29,'[5]5 цех_CapEx'!G29,0)</f>
        <v>0</v>
      </c>
      <c r="I157" s="20" t="str">
        <f>IF(G$2&gt;='[5]5 цех result'!$C29,$AK157,"")</f>
        <v/>
      </c>
      <c r="J157" s="20">
        <f>IF(J$2='[5]5 цех result'!$C29,'[5]5 цех_CapEx'!H29,0)</f>
        <v>0</v>
      </c>
      <c r="K157" s="20">
        <f>IF(J$2&gt;='[5]5 цех result'!$D29,'[5]5 цех_CapEx'!H29,0)</f>
        <v>0</v>
      </c>
      <c r="L157" s="20" t="str">
        <f>IF(J$2&gt;='[5]5 цех result'!$C29,$AK157,"")</f>
        <v/>
      </c>
      <c r="M157" s="20">
        <f>IF(M$2='[5]5 цех result'!$C29,'[5]5 цех_CapEx'!I29,0)</f>
        <v>1606.7239285296419</v>
      </c>
      <c r="N157" s="20">
        <f>IF(M$2&gt;='[5]5 цех result'!$D29,'[5]5 цех_CapEx'!I29,0)</f>
        <v>0</v>
      </c>
      <c r="O157" s="20" t="str">
        <f>IF(M$2&gt;='[5]5 цех result'!$C29,$AK157,"")</f>
        <v xml:space="preserve">
ОРУ-35 кВ по схеме 35-5Н с установкой  ВВ-35 кВ 1000А  - 3 шт. 
Строительство ответвления  ВЛ-35 кВ от ВЛ-35 кВ Аманак отпайка на ПС 35/6 Боголюбовка к ПС 35/6 кВ БКНС 1,2 км, АС-95. </v>
      </c>
      <c r="P157" s="20">
        <f>IF(P$2='[5]5 цех result'!$C29,'[5]5 цех_CapEx'!J29,0)</f>
        <v>0</v>
      </c>
      <c r="Q157" s="20">
        <f>IF(P$2&gt;='[5]5 цех result'!$D29,'[5]5 цех_CapEx'!J29,0)</f>
        <v>0</v>
      </c>
      <c r="R157" s="20" t="str">
        <f>IF(P$2&gt;='[5]5 цех result'!$C29,$AK157,"")</f>
        <v xml:space="preserve">
ОРУ-35 кВ по схеме 35-5Н с установкой  ВВ-35 кВ 1000А  - 3 шт. 
Строительство ответвления  ВЛ-35 кВ от ВЛ-35 кВ Аманак отпайка на ПС 35/6 Боголюбовка к ПС 35/6 кВ БКНС 1,2 км, АС-95. </v>
      </c>
      <c r="S157" s="20">
        <f>IF(S$2='[5]5 цех result'!$C29,'[5]5 цех_CapEx'!K29,0)</f>
        <v>0</v>
      </c>
      <c r="T157" s="20">
        <f>IF(S$2&gt;='[5]5 цех result'!$D29,'[5]5 цех_CapEx'!K29,0)</f>
        <v>51053.95690823358</v>
      </c>
      <c r="U157" s="20" t="str">
        <f>IF(S$2&gt;='[5]5 цех result'!$C29,$AK157,"")</f>
        <v xml:space="preserve">
ОРУ-35 кВ по схеме 35-5Н с установкой  ВВ-35 кВ 1000А  - 3 шт. 
Строительство ответвления  ВЛ-35 кВ от ВЛ-35 кВ Аманак отпайка на ПС 35/6 Боголюбовка к ПС 35/6 кВ БКНС 1,2 км, АС-95. </v>
      </c>
      <c r="V157" s="20">
        <f>IF(V$2='[5]5 цех result'!$C29,'[5]5 цех_CapEx'!L29,0)</f>
        <v>0</v>
      </c>
      <c r="W157" s="20">
        <f>IF(V$2&gt;='[5]5 цех result'!$D29,'[5]5 цех_CapEx'!L29,0)</f>
        <v>0</v>
      </c>
      <c r="X157" s="20" t="str">
        <f>IF(V$2&gt;='[5]5 цех result'!$C29,$AK157,"")</f>
        <v xml:space="preserve">
ОРУ-35 кВ по схеме 35-5Н с установкой  ВВ-35 кВ 1000А  - 3 шт. 
Строительство ответвления  ВЛ-35 кВ от ВЛ-35 кВ Аманак отпайка на ПС 35/6 Боголюбовка к ПС 35/6 кВ БКНС 1,2 км, АС-95. </v>
      </c>
      <c r="Y157" s="20">
        <f>IF(Y$2='[5]5 цех result'!$C29,'[5]5 цех_CapEx'!M29,0)</f>
        <v>0</v>
      </c>
      <c r="Z157" s="20">
        <f>IF(Y$2&gt;='[5]5 цех result'!$D29,'[5]5 цех_CapEx'!M29,0)</f>
        <v>0</v>
      </c>
      <c r="AA157" s="20" t="str">
        <f>IF(Y$2&gt;='[5]5 цех result'!$C29,$AK157,"")</f>
        <v xml:space="preserve">
ОРУ-35 кВ по схеме 35-5Н с установкой  ВВ-35 кВ 1000А  - 3 шт. 
Строительство ответвления  ВЛ-35 кВ от ВЛ-35 кВ Аманак отпайка на ПС 35/6 Боголюбовка к ПС 35/6 кВ БКНС 1,2 км, АС-95. </v>
      </c>
      <c r="AB157" s="20">
        <f>IF(AB$2='[5]5 цех result'!$C29,'[5]5 цех_CapEx'!N29,0)</f>
        <v>0</v>
      </c>
      <c r="AC157" s="20">
        <f>IF(AB$2&gt;='[5]5 цех result'!$D29,'[5]5 цех_CapEx'!N29,0)</f>
        <v>0</v>
      </c>
      <c r="AD157" s="20" t="str">
        <f>IF(AB$2&gt;='[5]5 цех result'!$C29,$AK157,"")</f>
        <v xml:space="preserve">
ОРУ-35 кВ по схеме 35-5Н с установкой  ВВ-35 кВ 1000А  - 3 шт. 
Строительство ответвления  ВЛ-35 кВ от ВЛ-35 кВ Аманак отпайка на ПС 35/6 Боголюбовка к ПС 35/6 кВ БКНС 1,2 км, АС-95. </v>
      </c>
      <c r="AE157" s="20">
        <f>IF(AE$2='[5]5 цех result'!$C29,'[5]5 цех_CapEx'!O29,0)</f>
        <v>0</v>
      </c>
      <c r="AF157" s="20">
        <f>IF(AE$2&gt;='[5]5 цех result'!$D29,'[5]5 цех_CapEx'!O29,0)</f>
        <v>0</v>
      </c>
      <c r="AG157" s="20" t="str">
        <f>IF(AE$2&gt;='[5]5 цех result'!$C29,$AK157,"")</f>
        <v xml:space="preserve">
ОРУ-35 кВ по схеме 35-5Н с установкой  ВВ-35 кВ 1000А  - 3 шт. 
Строительство ответвления  ВЛ-35 кВ от ВЛ-35 кВ Аманак отпайка на ПС 35/6 Боголюбовка к ПС 35/6 кВ БКНС 1,2 км, АС-95. </v>
      </c>
      <c r="AH157" s="20">
        <f>IF(AH$2='[5]5 цех result'!$C29,'[5]5 цех_CapEx'!P29,0)</f>
        <v>0</v>
      </c>
      <c r="AI157" s="20">
        <f>IF(AH$2&gt;='[5]5 цех result'!$D29,'[5]5 цех_CapEx'!P29,0)</f>
        <v>0</v>
      </c>
      <c r="AJ157" s="20" t="str">
        <f>IF(AH$2&gt;='[5]5 цех result'!$C29,$AK157,"")</f>
        <v xml:space="preserve">
ОРУ-35 кВ по схеме 35-5Н с установкой  ВВ-35 кВ 1000А  - 3 шт. 
Строительство ответвления  ВЛ-35 кВ от ВЛ-35 кВ Аманак отпайка на ПС 35/6 Боголюбовка к ПС 35/6 кВ БКНС 1,2 км, АС-95. </v>
      </c>
      <c r="AK157" s="12" t="s">
        <v>147</v>
      </c>
      <c r="AL157" s="19"/>
      <c r="AM157" s="71">
        <f t="shared" si="11"/>
        <v>52660.680836763218</v>
      </c>
      <c r="AN157" s="71">
        <f>'[5]5 цех_CapEx'!$V29</f>
        <v>52660.680836763218</v>
      </c>
      <c r="AO157" s="71">
        <f t="shared" si="12"/>
        <v>0</v>
      </c>
      <c r="AP157" s="54" t="s">
        <v>232</v>
      </c>
      <c r="AQ157" s="81" t="s">
        <v>219</v>
      </c>
    </row>
    <row r="158" spans="1:43" ht="120">
      <c r="A158" s="78">
        <v>128</v>
      </c>
      <c r="B158" s="19" t="str">
        <f>'[5]5 цех_CapEx'!$B31</f>
        <v xml:space="preserve">ПС 35/6 кВ 1х 4000кВА    Боголюбовка </v>
      </c>
      <c r="C158" s="32">
        <f>'[5]5 цех_CapEx'!$W31</f>
        <v>1</v>
      </c>
      <c r="D158" s="20">
        <f>IF(D$2='[5]5 цех result'!$C31,'[5]5 цех_CapEx'!F31,0)</f>
        <v>0</v>
      </c>
      <c r="E158" s="20">
        <f>IF(D$2&gt;='[5]5 цех result'!$D31,'[5]5 цех_CapEx'!F31,0)</f>
        <v>0</v>
      </c>
      <c r="F158" s="20" t="str">
        <f>IF(D$2&gt;='[5]5 цех result'!$C31,$AK158,"")</f>
        <v/>
      </c>
      <c r="G158" s="20">
        <f>IF(G$2='[5]5 цех result'!$C31,'[5]5 цех_CapEx'!G31,0)</f>
        <v>0</v>
      </c>
      <c r="H158" s="20">
        <f>IF(G$2&gt;='[5]5 цех result'!$D31,'[5]5 цех_CapEx'!G31,0)</f>
        <v>0</v>
      </c>
      <c r="I158" s="20" t="str">
        <f>IF(G$2&gt;='[5]5 цех result'!$C31,$AK158,"")</f>
        <v/>
      </c>
      <c r="J158" s="20">
        <f>IF(J$2='[5]5 цех result'!$C31,'[5]5 цех_CapEx'!H31,0)</f>
        <v>0</v>
      </c>
      <c r="K158" s="20">
        <f>IF(J$2&gt;='[5]5 цех result'!$D31,'[5]5 цех_CapEx'!H31,0)</f>
        <v>0</v>
      </c>
      <c r="L158" s="20" t="str">
        <f>IF(J$2&gt;='[5]5 цех result'!$C31,$AK158,"")</f>
        <v/>
      </c>
      <c r="M158" s="20">
        <f>IF(M$2='[5]5 цех result'!$C31,'[5]5 цех_CapEx'!I31,0)</f>
        <v>0</v>
      </c>
      <c r="N158" s="20">
        <f>IF(M$2&gt;='[5]5 цех result'!$D31,'[5]5 цех_CapEx'!I31,0)</f>
        <v>0</v>
      </c>
      <c r="O158" s="20" t="str">
        <f>IF(M$2&gt;='[5]5 цех result'!$C31,$AK158,"")</f>
        <v/>
      </c>
      <c r="P158" s="20">
        <f>IF(P$2='[5]5 цех result'!$C31,'[5]5 цех_CapEx'!J31,0)</f>
        <v>4007.4745224933195</v>
      </c>
      <c r="Q158" s="20">
        <f>IF(P$2&gt;='[5]5 цех result'!$D31,'[5]5 цех_CapEx'!J31,0)</f>
        <v>0</v>
      </c>
      <c r="R158" s="20" t="str">
        <f>IF(P$2&gt;='[5]5 цех result'!$C31,$AK158,"")</f>
        <v xml:space="preserve">ОРУ по схеме 35-5Н с установкой ВВ-35 кВ 1000А - 3 шт.
Строительство ответвления от ВЛ-35 кВ Сарбай к ПС 35/6 кВ Боголюбовка 9,5 км, АС-95. </v>
      </c>
      <c r="S158" s="20">
        <f>IF(S$2='[5]5 цех result'!$C31,'[5]5 цех_CapEx'!K31,0)</f>
        <v>0</v>
      </c>
      <c r="T158" s="20">
        <f>IF(S$2&gt;='[5]5 цех result'!$D31,'[5]5 цех_CapEx'!K31,0)</f>
        <v>0</v>
      </c>
      <c r="U158" s="20" t="str">
        <f>IF(S$2&gt;='[5]5 цех result'!$C31,$AK158,"")</f>
        <v xml:space="preserve">ОРУ по схеме 35-5Н с установкой ВВ-35 кВ 1000А - 3 шт.
Строительство ответвления от ВЛ-35 кВ Сарбай к ПС 35/6 кВ Боголюбовка 9,5 км, АС-95. </v>
      </c>
      <c r="V158" s="20">
        <f>IF(V$2='[5]5 цех result'!$C31,'[5]5 цех_CapEx'!L31,0)</f>
        <v>0</v>
      </c>
      <c r="W158" s="20">
        <f>IF(V$2&gt;='[5]5 цех result'!$D31,'[5]5 цех_CapEx'!L31,0)</f>
        <v>84084.281526978317</v>
      </c>
      <c r="X158" s="20" t="str">
        <f>IF(V$2&gt;='[5]5 цех result'!$C31,$AK158,"")</f>
        <v xml:space="preserve">ОРУ по схеме 35-5Н с установкой ВВ-35 кВ 1000А - 3 шт.
Строительство ответвления от ВЛ-35 кВ Сарбай к ПС 35/6 кВ Боголюбовка 9,5 км, АС-95. </v>
      </c>
      <c r="Y158" s="20">
        <f>IF(Y$2='[5]5 цех result'!$C31,'[5]5 цех_CapEx'!M31,0)</f>
        <v>0</v>
      </c>
      <c r="Z158" s="20">
        <f>IF(Y$2&gt;='[5]5 цех result'!$D31,'[5]5 цех_CapEx'!M31,0)</f>
        <v>0</v>
      </c>
      <c r="AA158" s="20" t="str">
        <f>IF(Y$2&gt;='[5]5 цех result'!$C31,$AK158,"")</f>
        <v xml:space="preserve">ОРУ по схеме 35-5Н с установкой ВВ-35 кВ 1000А - 3 шт.
Строительство ответвления от ВЛ-35 кВ Сарбай к ПС 35/6 кВ Боголюбовка 9,5 км, АС-95. </v>
      </c>
      <c r="AB158" s="20">
        <f>IF(AB$2='[5]5 цех result'!$C31,'[5]5 цех_CapEx'!N31,0)</f>
        <v>0</v>
      </c>
      <c r="AC158" s="20">
        <f>IF(AB$2&gt;='[5]5 цех result'!$D31,'[5]5 цех_CapEx'!N31,0)</f>
        <v>0</v>
      </c>
      <c r="AD158" s="20" t="str">
        <f>IF(AB$2&gt;='[5]5 цех result'!$C31,$AK158,"")</f>
        <v xml:space="preserve">ОРУ по схеме 35-5Н с установкой ВВ-35 кВ 1000А - 3 шт.
Строительство ответвления от ВЛ-35 кВ Сарбай к ПС 35/6 кВ Боголюбовка 9,5 км, АС-95. </v>
      </c>
      <c r="AE158" s="20">
        <f>IF(AE$2='[5]5 цех result'!$C31,'[5]5 цех_CapEx'!O31,0)</f>
        <v>0</v>
      </c>
      <c r="AF158" s="20">
        <f>IF(AE$2&gt;='[5]5 цех result'!$D31,'[5]5 цех_CapEx'!O31,0)</f>
        <v>0</v>
      </c>
      <c r="AG158" s="20" t="str">
        <f>IF(AE$2&gt;='[5]5 цех result'!$C31,$AK158,"")</f>
        <v xml:space="preserve">ОРУ по схеме 35-5Н с установкой ВВ-35 кВ 1000А - 3 шт.
Строительство ответвления от ВЛ-35 кВ Сарбай к ПС 35/6 кВ Боголюбовка 9,5 км, АС-95. </v>
      </c>
      <c r="AH158" s="20">
        <f>IF(AH$2='[5]5 цех result'!$C31,'[5]5 цех_CapEx'!P31,0)</f>
        <v>0</v>
      </c>
      <c r="AI158" s="20">
        <f>IF(AH$2&gt;='[5]5 цех result'!$D31,'[5]5 цех_CapEx'!P31,0)</f>
        <v>0</v>
      </c>
      <c r="AJ158" s="20" t="str">
        <f>IF(AH$2&gt;='[5]5 цех result'!$C31,$AK158,"")</f>
        <v xml:space="preserve">ОРУ по схеме 35-5Н с установкой ВВ-35 кВ 1000А - 3 шт.
Строительство ответвления от ВЛ-35 кВ Сарбай к ПС 35/6 кВ Боголюбовка 9,5 км, АС-95. </v>
      </c>
      <c r="AK158" s="12" t="s">
        <v>151</v>
      </c>
      <c r="AL158" s="19"/>
      <c r="AM158" s="71">
        <f t="shared" si="11"/>
        <v>88091.756049471631</v>
      </c>
      <c r="AN158" s="71">
        <f>'[5]5 цех_CapEx'!$V31</f>
        <v>88091.756049471631</v>
      </c>
      <c r="AO158" s="71">
        <f t="shared" si="12"/>
        <v>0</v>
      </c>
      <c r="AP158" s="56" t="s">
        <v>265</v>
      </c>
      <c r="AQ158" s="81" t="s">
        <v>255</v>
      </c>
    </row>
    <row r="159" spans="1:43" ht="135">
      <c r="A159" s="78">
        <v>129</v>
      </c>
      <c r="B159" s="19" t="str">
        <f>'[5]5 цех_CapEx'!$B32</f>
        <v>ПС 35/6 кВ 1800 кВА "Садовая"</v>
      </c>
      <c r="C159" s="32">
        <f>'[5]5 цех_CapEx'!$W32</f>
        <v>1</v>
      </c>
      <c r="D159" s="20">
        <f>IF(D$2='[5]5 цех result'!$C32,'[5]5 цех_CapEx'!F32,0)</f>
        <v>0</v>
      </c>
      <c r="E159" s="20">
        <f>IF(D$2&gt;='[5]5 цех result'!$D32,'[5]5 цех_CapEx'!F32,0)</f>
        <v>0</v>
      </c>
      <c r="F159" s="20" t="str">
        <f>IF(D$2&gt;='[5]5 цех result'!$C32,$AK159,"")</f>
        <v/>
      </c>
      <c r="G159" s="20">
        <f>IF(G$2='[5]5 цех result'!$C32,'[5]5 цех_CapEx'!G32,0)</f>
        <v>0</v>
      </c>
      <c r="H159" s="20">
        <f>IF(G$2&gt;='[5]5 цех result'!$D32,'[5]5 цех_CapEx'!G32,0)</f>
        <v>0</v>
      </c>
      <c r="I159" s="20" t="str">
        <f>IF(G$2&gt;='[5]5 цех result'!$C32,$AK159,"")</f>
        <v/>
      </c>
      <c r="J159" s="20">
        <f>IF(J$2='[5]5 цех result'!$C32,'[5]5 цех_CapEx'!H32,0)</f>
        <v>0</v>
      </c>
      <c r="K159" s="20">
        <f>IF(J$2&gt;='[5]5 цех result'!$D32,'[5]5 цех_CapEx'!H32,0)</f>
        <v>0</v>
      </c>
      <c r="L159" s="20" t="str">
        <f>IF(J$2&gt;='[5]5 цех result'!$C32,$AK159,"")</f>
        <v/>
      </c>
      <c r="M159" s="20">
        <f>IF(M$2='[5]5 цех result'!$C32,'[5]5 цех_CapEx'!I32,0)</f>
        <v>0</v>
      </c>
      <c r="N159" s="20">
        <f>IF(M$2&gt;='[5]5 цех result'!$D32,'[5]5 цех_CapEx'!I32,0)</f>
        <v>0</v>
      </c>
      <c r="O159" s="20" t="str">
        <f>IF(M$2&gt;='[5]5 цех result'!$C32,$AK159,"")</f>
        <v/>
      </c>
      <c r="P159" s="20">
        <f>IF(P$2='[5]5 цех result'!$C32,'[5]5 цех_CapEx'!J32,0)</f>
        <v>0</v>
      </c>
      <c r="Q159" s="20">
        <f>IF(P$2&gt;='[5]5 цех result'!$D32,'[5]5 цех_CapEx'!J32,0)</f>
        <v>0</v>
      </c>
      <c r="R159" s="20" t="str">
        <f>IF(P$2&gt;='[5]5 цех result'!$C32,$AK159,"")</f>
        <v/>
      </c>
      <c r="S159" s="20">
        <f>IF(S$2='[5]5 цех result'!$C32,'[5]5 цех_CapEx'!K32,0)</f>
        <v>0</v>
      </c>
      <c r="T159" s="20">
        <f>IF(S$2&gt;='[5]5 цех result'!$D32,'[5]5 цех_CapEx'!K32,0)</f>
        <v>0</v>
      </c>
      <c r="U159" s="20" t="str">
        <f>IF(S$2&gt;='[5]5 цех result'!$C32,$AK159,"")</f>
        <v/>
      </c>
      <c r="V159" s="20">
        <f>IF(V$2='[5]5 цех result'!$C32,'[5]5 цех_CapEx'!L32,0)</f>
        <v>5336.6290499235056</v>
      </c>
      <c r="W159" s="20">
        <f>IF(V$2&gt;='[5]5 цех result'!$D32,'[5]5 цех_CapEx'!L32,0)</f>
        <v>0</v>
      </c>
      <c r="X159" s="20" t="str">
        <f>IF(V$2&gt;='[5]5 цех result'!$C32,$AK159,"")</f>
        <v xml:space="preserve">КТПБ(М)-35: 1*ТМН-2500/35-У1 с РПН в пределах 35±.4х2,5%. ВВН-П-35-25/1000 У1** с ном. током 1000 А и ном. током откл. 25 кА-3 шт. 
Двухцепная ВЛ-35кВ АС-95 4 км. </v>
      </c>
      <c r="Y159" s="20">
        <f>IF(Y$2='[5]5 цех result'!$C32,'[5]5 цех_CapEx'!M32,0)</f>
        <v>0</v>
      </c>
      <c r="Z159" s="20">
        <f>IF(Y$2&gt;='[5]5 цех result'!$D32,'[5]5 цех_CapEx'!M32,0)</f>
        <v>0</v>
      </c>
      <c r="AA159" s="20" t="str">
        <f>IF(Y$2&gt;='[5]5 цех result'!$C32,$AK159,"")</f>
        <v xml:space="preserve">КТПБ(М)-35: 1*ТМН-2500/35-У1 с РПН в пределах 35±.4х2,5%. ВВН-П-35-25/1000 У1** с ном. током 1000 А и ном. током откл. 25 кА-3 шт. 
Двухцепная ВЛ-35кВ АС-95 4 км. </v>
      </c>
      <c r="AB159" s="20">
        <f>IF(AB$2='[5]5 цех result'!$C32,'[5]5 цех_CapEx'!N32,0)</f>
        <v>0</v>
      </c>
      <c r="AC159" s="20">
        <f>IF(AB$2&gt;='[5]5 цех result'!$D32,'[5]5 цех_CapEx'!N32,0)</f>
        <v>153478.14712544685</v>
      </c>
      <c r="AD159" s="20" t="str">
        <f>IF(AB$2&gt;='[5]5 цех result'!$C32,$AK159,"")</f>
        <v xml:space="preserve">КТПБ(М)-35: 1*ТМН-2500/35-У1 с РПН в пределах 35±.4х2,5%. ВВН-П-35-25/1000 У1** с ном. током 1000 А и ном. током откл. 25 кА-3 шт. 
Двухцепная ВЛ-35кВ АС-95 4 км. </v>
      </c>
      <c r="AE159" s="20">
        <f>IF(AE$2='[5]5 цех result'!$C32,'[5]5 цех_CapEx'!O32,0)</f>
        <v>0</v>
      </c>
      <c r="AF159" s="20">
        <f>IF(AE$2&gt;='[5]5 цех result'!$D32,'[5]5 цех_CapEx'!O32,0)</f>
        <v>0</v>
      </c>
      <c r="AG159" s="20" t="str">
        <f>IF(AE$2&gt;='[5]5 цех result'!$C32,$AK159,"")</f>
        <v xml:space="preserve">КТПБ(М)-35: 1*ТМН-2500/35-У1 с РПН в пределах 35±.4х2,5%. ВВН-П-35-25/1000 У1** с ном. током 1000 А и ном. током откл. 25 кА-3 шт. 
Двухцепная ВЛ-35кВ АС-95 4 км. </v>
      </c>
      <c r="AH159" s="20">
        <f>IF(AH$2='[5]5 цех result'!$C32,'[5]5 цех_CapEx'!P32,0)</f>
        <v>0</v>
      </c>
      <c r="AI159" s="20">
        <f>IF(AH$2&gt;='[5]5 цех result'!$D32,'[5]5 цех_CapEx'!P32,0)</f>
        <v>0</v>
      </c>
      <c r="AJ159" s="20" t="str">
        <f>IF(AH$2&gt;='[5]5 цех result'!$C32,$AK159,"")</f>
        <v xml:space="preserve">КТПБ(М)-35: 1*ТМН-2500/35-У1 с РПН в пределах 35±.4х2,5%. ВВН-П-35-25/1000 У1** с ном. током 1000 А и ном. током откл. 25 кА-3 шт. 
Двухцепная ВЛ-35кВ АС-95 4 км. </v>
      </c>
      <c r="AK159" s="12" t="s">
        <v>152</v>
      </c>
      <c r="AL159" s="19"/>
      <c r="AM159" s="71">
        <f t="shared" si="11"/>
        <v>158814.77617537035</v>
      </c>
      <c r="AN159" s="71">
        <f>'[5]5 цех_CapEx'!$V32</f>
        <v>158814.77617537035</v>
      </c>
      <c r="AO159" s="71">
        <f t="shared" si="12"/>
        <v>0</v>
      </c>
      <c r="AP159" s="54" t="s">
        <v>267</v>
      </c>
      <c r="AQ159" s="81" t="s">
        <v>255</v>
      </c>
    </row>
    <row r="160" spans="1:43" s="25" customFormat="1">
      <c r="A160" s="90">
        <v>130</v>
      </c>
      <c r="B160" s="22" t="s">
        <v>39</v>
      </c>
      <c r="C160" s="22"/>
      <c r="D160" s="23"/>
      <c r="E160" s="23"/>
      <c r="F160" s="23"/>
      <c r="G160" s="24"/>
      <c r="H160" s="23"/>
      <c r="I160" s="23"/>
      <c r="J160" s="24"/>
      <c r="K160" s="23"/>
      <c r="L160" s="23"/>
      <c r="M160" s="24"/>
      <c r="N160" s="23"/>
      <c r="O160" s="23"/>
      <c r="P160" s="24"/>
      <c r="Q160" s="23"/>
      <c r="R160" s="23"/>
      <c r="S160" s="24"/>
      <c r="T160" s="23"/>
      <c r="U160" s="23"/>
      <c r="V160" s="24"/>
      <c r="W160" s="23"/>
      <c r="X160" s="23"/>
      <c r="Y160" s="24"/>
      <c r="Z160" s="23"/>
      <c r="AA160" s="23"/>
      <c r="AB160" s="24"/>
      <c r="AC160" s="23"/>
      <c r="AD160" s="23"/>
      <c r="AE160" s="24"/>
      <c r="AF160" s="23"/>
      <c r="AG160" s="23"/>
      <c r="AH160" s="24"/>
      <c r="AI160" s="23"/>
      <c r="AJ160" s="23"/>
      <c r="AK160" s="58"/>
      <c r="AL160" s="22"/>
      <c r="AM160" s="69">
        <f>SUMIF(C162:C178,1,AM162:AM178)</f>
        <v>3059490.3998341644</v>
      </c>
      <c r="AN160" s="68" t="str">
        <f>IF(ROUND(AM160,5)=ROUND('Свод по цехам_Инвестиции'!R7,5),"","!!!")</f>
        <v/>
      </c>
      <c r="AO160" s="22"/>
      <c r="AP160" s="60"/>
      <c r="AQ160" s="75"/>
    </row>
    <row r="161" spans="1:43" s="31" customFormat="1" hidden="1">
      <c r="A161" s="78">
        <f>A160+1</f>
        <v>131</v>
      </c>
      <c r="B161" s="27" t="s">
        <v>11</v>
      </c>
      <c r="C161" s="28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30"/>
      <c r="AL161" s="27"/>
      <c r="AM161" s="27"/>
      <c r="AN161" s="70"/>
      <c r="AO161" s="27"/>
      <c r="AP161" s="61"/>
      <c r="AQ161" s="77"/>
    </row>
    <row r="162" spans="1:43" ht="75">
      <c r="A162" s="78">
        <v>131</v>
      </c>
      <c r="B162" s="19" t="str">
        <f>'[6]6 цех_CapEx'!$B8</f>
        <v>ПС 110/35/6кВ 2х16000кВА "Кудиновская"</v>
      </c>
      <c r="C162" s="32">
        <f>'[6]6 цех_CapEx'!$W8</f>
        <v>1</v>
      </c>
      <c r="D162" s="20">
        <f>IF(D$2='[6]6 цех result'!$C8,'[6]6 цех_CapEx'!F8,0)</f>
        <v>0</v>
      </c>
      <c r="E162" s="20">
        <f>IF(D$2&gt;='[6]6 цех result'!$D8,'[6]6 цех_CapEx'!F8,0)</f>
        <v>0</v>
      </c>
      <c r="F162" s="20" t="str">
        <f>IF(D$2&gt;='[6]6 цех result'!$C8,$AK162,"")</f>
        <v/>
      </c>
      <c r="G162" s="20">
        <f>IF(G$2='[6]6 цех result'!$C8,'[6]6 цех_CapEx'!G8,0)</f>
        <v>0</v>
      </c>
      <c r="H162" s="20">
        <f>IF(G$2&gt;='[6]6 цех result'!$D8,'[6]6 цех_CapEx'!G8,0)</f>
        <v>0</v>
      </c>
      <c r="I162" s="20" t="str">
        <f>IF(G$2&gt;='[6]6 цех result'!$C8,$AK162,"")</f>
        <v/>
      </c>
      <c r="J162" s="20">
        <f>IF(J$2='[6]6 цех result'!$C8,'[6]6 цех_CapEx'!H8,0)</f>
        <v>0</v>
      </c>
      <c r="K162" s="20">
        <f>IF(J$2&gt;='[6]6 цех result'!$D8,'[6]6 цех_CapEx'!H8,0)</f>
        <v>0</v>
      </c>
      <c r="L162" s="20" t="str">
        <f>IF(J$2&gt;='[6]6 цех result'!$C8,$AK162,"")</f>
        <v/>
      </c>
      <c r="M162" s="20">
        <f>IF(M$2='[6]6 цех result'!$C8,'[6]6 цех_CapEx'!I8,0)</f>
        <v>10867.762507788295</v>
      </c>
      <c r="N162" s="20">
        <f>IF(M$2&gt;='[6]6 цех result'!$D8,'[6]6 цех_CapEx'!I8,0)</f>
        <v>0</v>
      </c>
      <c r="O162" s="20" t="str">
        <f>IF(M$2&gt;='[6]6 цех result'!$C8,$AK162,"")</f>
        <v>Замена:
ВВ-35 кВ - 1000 А - 2 шт.                                                                                  ЭВ-110 кВ 1000 А -2 шт.</v>
      </c>
      <c r="P162" s="20">
        <f>IF(P$2='[6]6 цех result'!$C8,'[6]6 цех_CapEx'!J8,0)</f>
        <v>0</v>
      </c>
      <c r="Q162" s="20">
        <f>IF(P$2&gt;='[6]6 цех result'!$D8,'[6]6 цех_CapEx'!J8,0)</f>
        <v>0</v>
      </c>
      <c r="R162" s="20" t="str">
        <f>IF(P$2&gt;='[6]6 цех result'!$C8,$AK162,"")</f>
        <v>Замена:
ВВ-35 кВ - 1000 А - 2 шт.                                                                                  ЭВ-110 кВ 1000 А -2 шт.</v>
      </c>
      <c r="S162" s="20">
        <f>IF(S$2='[6]6 цех result'!$C8,'[6]6 цех_CapEx'!K8,0)</f>
        <v>0</v>
      </c>
      <c r="T162" s="20">
        <f>IF(S$2&gt;='[6]6 цех result'!$D8,'[6]6 цех_CapEx'!K8,0)</f>
        <v>190762.81339783364</v>
      </c>
      <c r="U162" s="20" t="str">
        <f>IF(S$2&gt;='[6]6 цех result'!$C8,$AK162,"")</f>
        <v>Замена:
ВВ-35 кВ - 1000 А - 2 шт.                                                                                  ЭВ-110 кВ 1000 А -2 шт.</v>
      </c>
      <c r="V162" s="20">
        <f>IF(V$2='[6]6 цех result'!$C8,'[6]6 цех_CapEx'!L8,0)</f>
        <v>0</v>
      </c>
      <c r="W162" s="20">
        <f>IF(V$2&gt;='[6]6 цех result'!$D8,'[6]6 цех_CapEx'!L8,0)</f>
        <v>0</v>
      </c>
      <c r="X162" s="20" t="str">
        <f>IF(V$2&gt;='[6]6 цех result'!$C8,$AK162,"")</f>
        <v>Замена:
ВВ-35 кВ - 1000 А - 2 шт.                                                                                  ЭВ-110 кВ 1000 А -2 шт.</v>
      </c>
      <c r="Y162" s="20">
        <f>IF(Y$2='[6]6 цех result'!$C8,'[6]6 цех_CapEx'!M8,0)</f>
        <v>0</v>
      </c>
      <c r="Z162" s="20">
        <f>IF(Y$2&gt;='[6]6 цех result'!$D8,'[6]6 цех_CapEx'!M8,0)</f>
        <v>0</v>
      </c>
      <c r="AA162" s="20" t="str">
        <f>IF(Y$2&gt;='[6]6 цех result'!$C8,$AK162,"")</f>
        <v>Замена:
ВВ-35 кВ - 1000 А - 2 шт.                                                                                  ЭВ-110 кВ 1000 А -2 шт.</v>
      </c>
      <c r="AB162" s="20">
        <f>IF(AB$2='[6]6 цех result'!$C8,'[6]6 цех_CapEx'!N8,0)</f>
        <v>0</v>
      </c>
      <c r="AC162" s="20">
        <f>IF(AB$2&gt;='[6]6 цех result'!$D8,'[6]6 цех_CapEx'!N8,0)</f>
        <v>0</v>
      </c>
      <c r="AD162" s="20" t="str">
        <f>IF(AB$2&gt;='[6]6 цех result'!$C8,$AK162,"")</f>
        <v>Замена:
ВВ-35 кВ - 1000 А - 2 шт.                                                                                  ЭВ-110 кВ 1000 А -2 шт.</v>
      </c>
      <c r="AE162" s="20">
        <f>IF(AE$2='[6]6 цех result'!$C8,'[6]6 цех_CapEx'!O8,0)</f>
        <v>0</v>
      </c>
      <c r="AF162" s="20">
        <f>IF(AE$2&gt;='[6]6 цех result'!$D8,'[6]6 цех_CapEx'!O8,0)</f>
        <v>0</v>
      </c>
      <c r="AG162" s="20" t="str">
        <f>IF(AE$2&gt;='[6]6 цех result'!$C8,$AK162,"")</f>
        <v>Замена:
ВВ-35 кВ - 1000 А - 2 шт.                                                                                  ЭВ-110 кВ 1000 А -2 шт.</v>
      </c>
      <c r="AH162" s="20">
        <f>IF(AH$2='[6]6 цех result'!$C8,'[6]6 цех_CapEx'!P8,0)</f>
        <v>0</v>
      </c>
      <c r="AI162" s="20">
        <f>IF(AH$2&gt;='[6]6 цех result'!$D8,'[6]6 цех_CapEx'!P8,0)</f>
        <v>0</v>
      </c>
      <c r="AJ162" s="20" t="str">
        <f>IF(AH$2&gt;='[6]6 цех result'!$C8,$AK162,"")</f>
        <v>Замена:
ВВ-35 кВ - 1000 А - 2 шт.                                                                                  ЭВ-110 кВ 1000 А -2 шт.</v>
      </c>
      <c r="AK162" s="12" t="s">
        <v>154</v>
      </c>
      <c r="AL162" s="19"/>
      <c r="AM162" s="71">
        <f t="shared" ref="AM162:AM170" si="13">SUM(D162:AJ162)</f>
        <v>201630.57590562192</v>
      </c>
      <c r="AN162" s="71">
        <f>'[6]6 цех_CapEx'!$V8</f>
        <v>201630.57590562192</v>
      </c>
      <c r="AO162" s="71">
        <f>AM162-AN162</f>
        <v>0</v>
      </c>
      <c r="AP162" s="53" t="s">
        <v>268</v>
      </c>
      <c r="AQ162" s="81" t="s">
        <v>269</v>
      </c>
    </row>
    <row r="163" spans="1:43" ht="105">
      <c r="A163" s="78">
        <v>132</v>
      </c>
      <c r="B163" s="19" t="str">
        <f>'[6]6 цех_CapEx'!$B9</f>
        <v>ПС 35/6кВ 2х4000кВА "Горбатовская-2"</v>
      </c>
      <c r="C163" s="32">
        <f>'[6]6 цех_CapEx'!$W9</f>
        <v>1</v>
      </c>
      <c r="D163" s="20">
        <f>IF(D$2='[6]6 цех result'!$C9,'[6]6 цех_CapEx'!F9,0)</f>
        <v>0</v>
      </c>
      <c r="E163" s="20">
        <f>IF(D$2&gt;='[6]6 цех result'!$D9,'[6]6 цех_CapEx'!F9,0)</f>
        <v>0</v>
      </c>
      <c r="F163" s="20" t="str">
        <f>IF(D$2&gt;='[6]6 цех result'!$C9,$AK163,"")</f>
        <v/>
      </c>
      <c r="G163" s="20">
        <f>IF(G$2='[6]6 цех result'!$C9,'[6]6 цех_CapEx'!G9,0)</f>
        <v>0</v>
      </c>
      <c r="H163" s="20">
        <f>IF(G$2&gt;='[6]6 цех result'!$D9,'[6]6 цех_CapEx'!G9,0)</f>
        <v>0</v>
      </c>
      <c r="I163" s="20" t="str">
        <f>IF(G$2&gt;='[6]6 цех result'!$C9,$AK163,"")</f>
        <v/>
      </c>
      <c r="J163" s="20">
        <f>IF(J$2='[6]6 цех result'!$C9,'[6]6 цех_CapEx'!H9,0)</f>
        <v>0</v>
      </c>
      <c r="K163" s="20">
        <f>IF(J$2&gt;='[6]6 цех result'!$D9,'[6]6 цех_CapEx'!H9,0)</f>
        <v>0</v>
      </c>
      <c r="L163" s="20" t="str">
        <f>IF(J$2&gt;='[6]6 цех result'!$C9,$AK163,"")</f>
        <v/>
      </c>
      <c r="M163" s="20">
        <f>IF(M$2='[6]6 цех result'!$C9,'[6]6 цех_CapEx'!I9,0)</f>
        <v>882.06397283230194</v>
      </c>
      <c r="N163" s="20">
        <f>IF(M$2&gt;='[6]6 цех result'!$D9,'[6]6 цех_CapEx'!I9,0)</f>
        <v>0</v>
      </c>
      <c r="O163" s="20" t="str">
        <f>IF(M$2&gt;='[6]6 цех result'!$C9,$AK163,"")</f>
        <v>Замена:
МВ-35 на ВВ-35 кВ - 1000 А - 2 шт.
СМВ-35 н аСВВ -35 кВ -1000А- 1 шт. Установка БСК 6 кВ 0,45 Мвар, 2 сш.</v>
      </c>
      <c r="P163" s="20">
        <f>IF(P$2='[6]6 цех result'!$C9,'[6]6 цех_CapEx'!J9,0)</f>
        <v>0</v>
      </c>
      <c r="Q163" s="20">
        <f>IF(P$2&gt;='[6]6 цех result'!$D9,'[6]6 цех_CapEx'!J9,0)</f>
        <v>0</v>
      </c>
      <c r="R163" s="20" t="str">
        <f>IF(P$2&gt;='[6]6 цех result'!$C9,$AK163,"")</f>
        <v>Замена:
МВ-35 на ВВ-35 кВ - 1000 А - 2 шт.
СМВ-35 н аСВВ -35 кВ -1000А- 1 шт. Установка БСК 6 кВ 0,45 Мвар, 2 сш.</v>
      </c>
      <c r="S163" s="20">
        <f>IF(S$2='[6]6 цех result'!$C9,'[6]6 цех_CapEx'!K9,0)</f>
        <v>0</v>
      </c>
      <c r="T163" s="20">
        <f>IF(S$2&gt;='[6]6 цех result'!$D9,'[6]6 цех_CapEx'!K9,0)</f>
        <v>31954.169897566935</v>
      </c>
      <c r="U163" s="20" t="str">
        <f>IF(S$2&gt;='[6]6 цех result'!$C9,$AK163,"")</f>
        <v>Замена:
МВ-35 на ВВ-35 кВ - 1000 А - 2 шт.
СМВ-35 н аСВВ -35 кВ -1000А- 1 шт. Установка БСК 6 кВ 0,45 Мвар, 2 сш.</v>
      </c>
      <c r="V163" s="20">
        <f>IF(V$2='[6]6 цех result'!$C9,'[6]6 цех_CapEx'!L9,0)</f>
        <v>0</v>
      </c>
      <c r="W163" s="20">
        <f>IF(V$2&gt;='[6]6 цех result'!$D9,'[6]6 цех_CapEx'!L9,0)</f>
        <v>0</v>
      </c>
      <c r="X163" s="20" t="str">
        <f>IF(V$2&gt;='[6]6 цех result'!$C9,$AK163,"")</f>
        <v>Замена:
МВ-35 на ВВ-35 кВ - 1000 А - 2 шт.
СМВ-35 н аСВВ -35 кВ -1000А- 1 шт. Установка БСК 6 кВ 0,45 Мвар, 2 сш.</v>
      </c>
      <c r="Y163" s="20">
        <f>IF(Y$2='[6]6 цех result'!$C9,'[6]6 цех_CapEx'!M9,0)</f>
        <v>0</v>
      </c>
      <c r="Z163" s="20">
        <f>IF(Y$2&gt;='[6]6 цех result'!$D9,'[6]6 цех_CapEx'!M9,0)</f>
        <v>0</v>
      </c>
      <c r="AA163" s="20" t="str">
        <f>IF(Y$2&gt;='[6]6 цех result'!$C9,$AK163,"")</f>
        <v>Замена:
МВ-35 на ВВ-35 кВ - 1000 А - 2 шт.
СМВ-35 н аСВВ -35 кВ -1000А- 1 шт. Установка БСК 6 кВ 0,45 Мвар, 2 сш.</v>
      </c>
      <c r="AB163" s="20">
        <f>IF(AB$2='[6]6 цех result'!$C9,'[6]6 цех_CapEx'!N9,0)</f>
        <v>0</v>
      </c>
      <c r="AC163" s="20">
        <f>IF(AB$2&gt;='[6]6 цех result'!$D9,'[6]6 цех_CapEx'!N9,0)</f>
        <v>0</v>
      </c>
      <c r="AD163" s="20" t="str">
        <f>IF(AB$2&gt;='[6]6 цех result'!$C9,$AK163,"")</f>
        <v>Замена:
МВ-35 на ВВ-35 кВ - 1000 А - 2 шт.
СМВ-35 н аСВВ -35 кВ -1000А- 1 шт. Установка БСК 6 кВ 0,45 Мвар, 2 сш.</v>
      </c>
      <c r="AE163" s="20">
        <f>IF(AE$2='[6]6 цех result'!$C9,'[6]6 цех_CapEx'!O9,0)</f>
        <v>0</v>
      </c>
      <c r="AF163" s="20">
        <f>IF(AE$2&gt;='[6]6 цех result'!$D9,'[6]6 цех_CapEx'!O9,0)</f>
        <v>0</v>
      </c>
      <c r="AG163" s="20" t="str">
        <f>IF(AE$2&gt;='[6]6 цех result'!$C9,$AK163,"")</f>
        <v>Замена:
МВ-35 на ВВ-35 кВ - 1000 А - 2 шт.
СМВ-35 н аСВВ -35 кВ -1000А- 1 шт. Установка БСК 6 кВ 0,45 Мвар, 2 сш.</v>
      </c>
      <c r="AH163" s="20">
        <f>IF(AH$2='[6]6 цех result'!$C9,'[6]6 цех_CapEx'!P9,0)</f>
        <v>0</v>
      </c>
      <c r="AI163" s="20">
        <f>IF(AH$2&gt;='[6]6 цех result'!$D9,'[6]6 цех_CapEx'!P9,0)</f>
        <v>0</v>
      </c>
      <c r="AJ163" s="20" t="str">
        <f>IF(AH$2&gt;='[6]6 цех result'!$C9,$AK163,"")</f>
        <v>Замена:
МВ-35 на ВВ-35 кВ - 1000 А - 2 шт.
СМВ-35 н аСВВ -35 кВ -1000А- 1 шт. Установка БСК 6 кВ 0,45 Мвар, 2 сш.</v>
      </c>
      <c r="AK163" s="12" t="s">
        <v>156</v>
      </c>
      <c r="AL163" s="19"/>
      <c r="AM163" s="71">
        <f t="shared" si="13"/>
        <v>32836.233870399235</v>
      </c>
      <c r="AN163" s="71">
        <f>'[6]6 цех_CapEx'!$V9</f>
        <v>32836.233870399235</v>
      </c>
      <c r="AO163" s="71">
        <f t="shared" ref="AO163:AO170" si="14">AM163-AN163</f>
        <v>0</v>
      </c>
      <c r="AP163" s="54" t="s">
        <v>270</v>
      </c>
      <c r="AQ163" s="81" t="s">
        <v>269</v>
      </c>
    </row>
    <row r="164" spans="1:43" ht="75">
      <c r="A164" s="78">
        <v>133</v>
      </c>
      <c r="B164" s="19" t="str">
        <f>'[6]6 цех_CapEx'!$B10</f>
        <v>ПС 35/6кВ 2х4000кВА "Гараевская"</v>
      </c>
      <c r="C164" s="32">
        <f>'[6]6 цех_CapEx'!$W10</f>
        <v>1</v>
      </c>
      <c r="D164" s="20">
        <f>IF(D$2='[6]6 цех result'!$C10,'[6]6 цех_CapEx'!F10,0)</f>
        <v>0</v>
      </c>
      <c r="E164" s="20">
        <f>IF(D$2&gt;='[6]6 цех result'!$D10,'[6]6 цех_CapEx'!F10,0)</f>
        <v>0</v>
      </c>
      <c r="F164" s="20" t="str">
        <f>IF(D$2&gt;='[6]6 цех result'!$C10,$AK164,"")</f>
        <v/>
      </c>
      <c r="G164" s="20">
        <f>IF(G$2='[6]6 цех result'!$C10,'[6]6 цех_CapEx'!G10,0)</f>
        <v>0</v>
      </c>
      <c r="H164" s="20">
        <f>IF(G$2&gt;='[6]6 цех result'!$D10,'[6]6 цех_CapEx'!G10,0)</f>
        <v>0</v>
      </c>
      <c r="I164" s="20" t="str">
        <f>IF(G$2&gt;='[6]6 цех result'!$C10,$AK164,"")</f>
        <v/>
      </c>
      <c r="J164" s="20">
        <f>IF(J$2='[6]6 цех result'!$C10,'[6]6 цех_CapEx'!H10,0)</f>
        <v>0</v>
      </c>
      <c r="K164" s="20">
        <f>IF(J$2&gt;='[6]6 цех result'!$D10,'[6]6 цех_CapEx'!H10,0)</f>
        <v>0</v>
      </c>
      <c r="L164" s="20" t="str">
        <f>IF(J$2&gt;='[6]6 цех result'!$C10,$AK164,"")</f>
        <v/>
      </c>
      <c r="M164" s="20">
        <f>IF(M$2='[6]6 цех result'!$C10,'[6]6 цех_CapEx'!I10,0)</f>
        <v>1146.5704746915587</v>
      </c>
      <c r="N164" s="20">
        <f>IF(M$2&gt;='[6]6 цех result'!$D10,'[6]6 цех_CapEx'!I10,0)</f>
        <v>0</v>
      </c>
      <c r="O164" s="20" t="str">
        <f>IF(M$2&gt;='[6]6 цех result'!$C10,$AK164,"")</f>
        <v>Замена:
ВВ-35 кВ - 1000 А - 2 шт.
СВВ -35 кВ -100 А- 1 шт.</v>
      </c>
      <c r="P164" s="20">
        <f>IF(P$2='[6]6 цех result'!$C10,'[6]6 цех_CapEx'!J10,0)</f>
        <v>0</v>
      </c>
      <c r="Q164" s="20">
        <f>IF(P$2&gt;='[6]6 цех result'!$D10,'[6]6 цех_CapEx'!J10,0)</f>
        <v>0</v>
      </c>
      <c r="R164" s="20" t="str">
        <f>IF(P$2&gt;='[6]6 цех result'!$C10,$AK164,"")</f>
        <v>Замена:
ВВ-35 кВ - 1000 А - 2 шт.
СВВ -35 кВ -100 А- 1 шт.</v>
      </c>
      <c r="S164" s="20">
        <f>IF(S$2='[6]6 цех result'!$C10,'[6]6 цех_CapEx'!K10,0)</f>
        <v>0</v>
      </c>
      <c r="T164" s="20">
        <f>IF(S$2&gt;='[6]6 цех result'!$D10,'[6]6 цех_CapEx'!K10,0)</f>
        <v>41536.338492756462</v>
      </c>
      <c r="U164" s="20" t="str">
        <f>IF(S$2&gt;='[6]6 цех result'!$C10,$AK164,"")</f>
        <v>Замена:
ВВ-35 кВ - 1000 А - 2 шт.
СВВ -35 кВ -100 А- 1 шт.</v>
      </c>
      <c r="V164" s="20">
        <f>IF(V$2='[6]6 цех result'!$C10,'[6]6 цех_CapEx'!L10,0)</f>
        <v>0</v>
      </c>
      <c r="W164" s="20">
        <f>IF(V$2&gt;='[6]6 цех result'!$D10,'[6]6 цех_CapEx'!L10,0)</f>
        <v>0</v>
      </c>
      <c r="X164" s="20" t="str">
        <f>IF(V$2&gt;='[6]6 цех result'!$C10,$AK164,"")</f>
        <v>Замена:
ВВ-35 кВ - 1000 А - 2 шт.
СВВ -35 кВ -100 А- 1 шт.</v>
      </c>
      <c r="Y164" s="20">
        <f>IF(Y$2='[6]6 цех result'!$C10,'[6]6 цех_CapEx'!M10,0)</f>
        <v>0</v>
      </c>
      <c r="Z164" s="20">
        <f>IF(Y$2&gt;='[6]6 цех result'!$D10,'[6]6 цех_CapEx'!M10,0)</f>
        <v>0</v>
      </c>
      <c r="AA164" s="20" t="str">
        <f>IF(Y$2&gt;='[6]6 цех result'!$C10,$AK164,"")</f>
        <v>Замена:
ВВ-35 кВ - 1000 А - 2 шт.
СВВ -35 кВ -100 А- 1 шт.</v>
      </c>
      <c r="AB164" s="20">
        <f>IF(AB$2='[6]6 цех result'!$C10,'[6]6 цех_CapEx'!N10,0)</f>
        <v>0</v>
      </c>
      <c r="AC164" s="20">
        <f>IF(AB$2&gt;='[6]6 цех result'!$D10,'[6]6 цех_CapEx'!N10,0)</f>
        <v>0</v>
      </c>
      <c r="AD164" s="20" t="str">
        <f>IF(AB$2&gt;='[6]6 цех result'!$C10,$AK164,"")</f>
        <v>Замена:
ВВ-35 кВ - 1000 А - 2 шт.
СВВ -35 кВ -100 А- 1 шт.</v>
      </c>
      <c r="AE164" s="20">
        <f>IF(AE$2='[6]6 цех result'!$C10,'[6]6 цех_CapEx'!O10,0)</f>
        <v>0</v>
      </c>
      <c r="AF164" s="20">
        <f>IF(AE$2&gt;='[6]6 цех result'!$D10,'[6]6 цех_CapEx'!O10,0)</f>
        <v>0</v>
      </c>
      <c r="AG164" s="20" t="str">
        <f>IF(AE$2&gt;='[6]6 цех result'!$C10,$AK164,"")</f>
        <v>Замена:
ВВ-35 кВ - 1000 А - 2 шт.
СВВ -35 кВ -100 А- 1 шт.</v>
      </c>
      <c r="AH164" s="20">
        <f>IF(AH$2='[6]6 цех result'!$C10,'[6]6 цех_CapEx'!P10,0)</f>
        <v>0</v>
      </c>
      <c r="AI164" s="20">
        <f>IF(AH$2&gt;='[6]6 цех result'!$D10,'[6]6 цех_CapEx'!P10,0)</f>
        <v>0</v>
      </c>
      <c r="AJ164" s="20" t="str">
        <f>IF(AH$2&gt;='[6]6 цех result'!$C10,$AK164,"")</f>
        <v>Замена:
ВВ-35 кВ - 1000 А - 2 шт.
СВВ -35 кВ -100 А- 1 шт.</v>
      </c>
      <c r="AK164" s="12" t="s">
        <v>157</v>
      </c>
      <c r="AL164" s="19"/>
      <c r="AM164" s="71">
        <f t="shared" si="13"/>
        <v>42682.90896744802</v>
      </c>
      <c r="AN164" s="71">
        <f>'[6]6 цех_CapEx'!$V10</f>
        <v>42682.90896744802</v>
      </c>
      <c r="AO164" s="71">
        <f t="shared" si="14"/>
        <v>0</v>
      </c>
      <c r="AP164" s="54" t="s">
        <v>271</v>
      </c>
      <c r="AQ164" s="81" t="s">
        <v>269</v>
      </c>
    </row>
    <row r="165" spans="1:43" ht="150">
      <c r="A165" s="78">
        <v>134</v>
      </c>
      <c r="B165" s="19" t="str">
        <f>'[6]6 цех_CapEx'!$B11</f>
        <v>ПС 35/6кВ 2500кВА "Восточная"</v>
      </c>
      <c r="C165" s="32">
        <f>'[6]6 цех_CapEx'!$W11</f>
        <v>1</v>
      </c>
      <c r="D165" s="20">
        <f>IF(D$2='[6]6 цех result'!$C11,'[6]6 цех_CapEx'!F11,0)</f>
        <v>0</v>
      </c>
      <c r="E165" s="20">
        <f>IF(D$2&gt;='[6]6 цех result'!$D11,'[6]6 цех_CapEx'!F11,0)</f>
        <v>0</v>
      </c>
      <c r="F165" s="20" t="str">
        <f>IF(D$2&gt;='[6]6 цех result'!$C11,$AK165,"")</f>
        <v/>
      </c>
      <c r="G165" s="20">
        <f>IF(G$2='[6]6 цех result'!$C11,'[6]6 цех_CapEx'!G11,0)</f>
        <v>0</v>
      </c>
      <c r="H165" s="20">
        <f>IF(G$2&gt;='[6]6 цех result'!$D11,'[6]6 цех_CapEx'!G11,0)</f>
        <v>0</v>
      </c>
      <c r="I165" s="20" t="str">
        <f>IF(G$2&gt;='[6]6 цех result'!$C11,$AK165,"")</f>
        <v/>
      </c>
      <c r="J165" s="20">
        <f>IF(J$2='[6]6 цех result'!$C11,'[6]6 цех_CapEx'!H11,0)</f>
        <v>0</v>
      </c>
      <c r="K165" s="20">
        <f>IF(J$2&gt;='[6]6 цех result'!$D11,'[6]6 цех_CapEx'!H11,0)</f>
        <v>0</v>
      </c>
      <c r="L165" s="20" t="str">
        <f>IF(J$2&gt;='[6]6 цех result'!$C11,$AK165,"")</f>
        <v/>
      </c>
      <c r="M165" s="20">
        <f>IF(M$2='[6]6 цех result'!$C11,'[6]6 цех_CapEx'!I11,0)</f>
        <v>5080.2611984986906</v>
      </c>
      <c r="N165" s="20">
        <f>IF(M$2&gt;='[6]6 цех result'!$D11,'[6]6 цех_CapEx'!I11,0)</f>
        <v>0</v>
      </c>
      <c r="O165" s="20" t="str">
        <f>IF(M$2&gt;='[6]6 цех result'!$C11,$AK165,"")</f>
        <v xml:space="preserve">                                                                                                   
Установка Т-1,2-Т 2*2500 кВА.
Строительство 2-й секции 35 кВ
Замена:
СВВ-35 кВ - 1000 А - 1 шт. 
ВВ-35 кВ - 1000 А - 4 шт.</v>
      </c>
      <c r="P165" s="20">
        <f>IF(P$2='[6]6 цех result'!$C11,'[6]6 цех_CapEx'!J11,0)</f>
        <v>0</v>
      </c>
      <c r="Q165" s="20">
        <f>IF(P$2&gt;='[6]6 цех result'!$D11,'[6]6 цех_CapEx'!J11,0)</f>
        <v>0</v>
      </c>
      <c r="R165" s="20" t="str">
        <f>IF(P$2&gt;='[6]6 цех result'!$C11,$AK165,"")</f>
        <v xml:space="preserve">                                                                                                   
Установка Т-1,2-Т 2*2500 кВА.
Строительство 2-й секции 35 кВ
Замена:
СВВ-35 кВ - 1000 А - 1 шт. 
ВВ-35 кВ - 1000 А - 4 шт.</v>
      </c>
      <c r="S165" s="20">
        <f>IF(S$2='[6]6 цех result'!$C11,'[6]6 цех_CapEx'!K11,0)</f>
        <v>0</v>
      </c>
      <c r="T165" s="20">
        <f>IF(S$2&gt;='[6]6 цех result'!$D11,'[6]6 цех_CapEx'!K11,0)</f>
        <v>129207.22014512791</v>
      </c>
      <c r="U165" s="20" t="str">
        <f>IF(S$2&gt;='[6]6 цех result'!$C11,$AK165,"")</f>
        <v xml:space="preserve">                                                                                                   
Установка Т-1,2-Т 2*2500 кВА.
Строительство 2-й секции 35 кВ
Замена:
СВВ-35 кВ - 1000 А - 1 шт. 
ВВ-35 кВ - 1000 А - 4 шт.</v>
      </c>
      <c r="V165" s="20">
        <f>IF(V$2='[6]6 цех result'!$C11,'[6]6 цех_CapEx'!L11,0)</f>
        <v>0</v>
      </c>
      <c r="W165" s="20">
        <f>IF(V$2&gt;='[6]6 цех result'!$D11,'[6]6 цех_CapEx'!L11,0)</f>
        <v>0</v>
      </c>
      <c r="X165" s="20" t="str">
        <f>IF(V$2&gt;='[6]6 цех result'!$C11,$AK165,"")</f>
        <v xml:space="preserve">                                                                                                   
Установка Т-1,2-Т 2*2500 кВА.
Строительство 2-й секции 35 кВ
Замена:
СВВ-35 кВ - 1000 А - 1 шт. 
ВВ-35 кВ - 1000 А - 4 шт.</v>
      </c>
      <c r="Y165" s="20">
        <f>IF(Y$2='[6]6 цех result'!$C11,'[6]6 цех_CapEx'!M11,0)</f>
        <v>0</v>
      </c>
      <c r="Z165" s="20">
        <f>IF(Y$2&gt;='[6]6 цех result'!$D11,'[6]6 цех_CapEx'!M11,0)</f>
        <v>0</v>
      </c>
      <c r="AA165" s="20" t="str">
        <f>IF(Y$2&gt;='[6]6 цех result'!$C11,$AK165,"")</f>
        <v xml:space="preserve">                                                                                                   
Установка Т-1,2-Т 2*2500 кВА.
Строительство 2-й секции 35 кВ
Замена:
СВВ-35 кВ - 1000 А - 1 шт. 
ВВ-35 кВ - 1000 А - 4 шт.</v>
      </c>
      <c r="AB165" s="20">
        <f>IF(AB$2='[6]6 цех result'!$C11,'[6]6 цех_CapEx'!N11,0)</f>
        <v>0</v>
      </c>
      <c r="AC165" s="20">
        <f>IF(AB$2&gt;='[6]6 цех result'!$D11,'[6]6 цех_CapEx'!N11,0)</f>
        <v>0</v>
      </c>
      <c r="AD165" s="20" t="str">
        <f>IF(AB$2&gt;='[6]6 цех result'!$C11,$AK165,"")</f>
        <v xml:space="preserve">                                                                                                   
Установка Т-1,2-Т 2*2500 кВА.
Строительство 2-й секции 35 кВ
Замена:
СВВ-35 кВ - 1000 А - 1 шт. 
ВВ-35 кВ - 1000 А - 4 шт.</v>
      </c>
      <c r="AE165" s="20">
        <f>IF(AE$2='[6]6 цех result'!$C11,'[6]6 цех_CapEx'!O11,0)</f>
        <v>0</v>
      </c>
      <c r="AF165" s="20">
        <f>IF(AE$2&gt;='[6]6 цех result'!$D11,'[6]6 цех_CapEx'!O11,0)</f>
        <v>0</v>
      </c>
      <c r="AG165" s="20" t="str">
        <f>IF(AE$2&gt;='[6]6 цех result'!$C11,$AK165,"")</f>
        <v xml:space="preserve">                                                                                                   
Установка Т-1,2-Т 2*2500 кВА.
Строительство 2-й секции 35 кВ
Замена:
СВВ-35 кВ - 1000 А - 1 шт. 
ВВ-35 кВ - 1000 А - 4 шт.</v>
      </c>
      <c r="AH165" s="20">
        <f>IF(AH$2='[6]6 цех result'!$C11,'[6]6 цех_CapEx'!P11,0)</f>
        <v>0</v>
      </c>
      <c r="AI165" s="20">
        <f>IF(AH$2&gt;='[6]6 цех result'!$D11,'[6]6 цех_CapEx'!P11,0)</f>
        <v>0</v>
      </c>
      <c r="AJ165" s="20" t="str">
        <f>IF(AH$2&gt;='[6]6 цех result'!$C11,$AK165,"")</f>
        <v xml:space="preserve">                                                                                                   
Установка Т-1,2-Т 2*2500 кВА.
Строительство 2-й секции 35 кВ
Замена:
СВВ-35 кВ - 1000 А - 1 шт. 
ВВ-35 кВ - 1000 А - 4 шт.</v>
      </c>
      <c r="AK165" s="12" t="s">
        <v>158</v>
      </c>
      <c r="AL165" s="19"/>
      <c r="AM165" s="71">
        <f t="shared" si="13"/>
        <v>134287.4813436266</v>
      </c>
      <c r="AN165" s="71">
        <f>'[6]6 цех_CapEx'!$V11</f>
        <v>134287.4813436266</v>
      </c>
      <c r="AO165" s="71">
        <f t="shared" si="14"/>
        <v>0</v>
      </c>
      <c r="AP165" s="54" t="s">
        <v>272</v>
      </c>
      <c r="AQ165" s="81" t="s">
        <v>269</v>
      </c>
    </row>
    <row r="166" spans="1:43" ht="60">
      <c r="A166" s="78">
        <v>135</v>
      </c>
      <c r="B166" s="19" t="str">
        <f>'[6]6 цех_CapEx'!$B12</f>
        <v>ПС 35/6кВ 4000кВА "Рассветская"</v>
      </c>
      <c r="C166" s="32">
        <f>'[6]6 цех_CapEx'!$W12</f>
        <v>1</v>
      </c>
      <c r="D166" s="20">
        <f>IF(D$2='[6]6 цех result'!$C12,'[6]6 цех_CapEx'!F12,0)</f>
        <v>0</v>
      </c>
      <c r="E166" s="20">
        <f>IF(D$2&gt;='[6]6 цех result'!$D12,'[6]6 цех_CapEx'!F12,0)</f>
        <v>0</v>
      </c>
      <c r="F166" s="20" t="str">
        <f>IF(D$2&gt;='[6]6 цех result'!$C12,$AK166,"")</f>
        <v/>
      </c>
      <c r="G166" s="20">
        <f>IF(G$2='[6]6 цех result'!$C12,'[6]6 цех_CapEx'!G12,0)</f>
        <v>0</v>
      </c>
      <c r="H166" s="20">
        <f>IF(G$2&gt;='[6]6 цех result'!$D12,'[6]6 цех_CapEx'!G12,0)</f>
        <v>0</v>
      </c>
      <c r="I166" s="20" t="str">
        <f>IF(G$2&gt;='[6]6 цех result'!$C12,$AK166,"")</f>
        <v/>
      </c>
      <c r="J166" s="20">
        <f>IF(J$2='[6]6 цех result'!$C12,'[6]6 цех_CapEx'!H12,0)</f>
        <v>1076.9802142212</v>
      </c>
      <c r="K166" s="20">
        <f>IF(J$2&gt;='[6]6 цех result'!$D12,'[6]6 цех_CapEx'!H12,0)</f>
        <v>0</v>
      </c>
      <c r="L166" s="20" t="str">
        <f>IF(J$2&gt;='[6]6 цех result'!$C12,$AK166,"")</f>
        <v>Замена существующего и установка нового СТ -6300 кВА - 2шт.</v>
      </c>
      <c r="M166" s="20">
        <f>IF(M$2='[6]6 цех result'!$C12,'[6]6 цех_CapEx'!I12,0)</f>
        <v>0</v>
      </c>
      <c r="N166" s="20">
        <f>IF(M$2&gt;='[6]6 цех result'!$D12,'[6]6 цех_CapEx'!I12,0)</f>
        <v>18333.972676794598</v>
      </c>
      <c r="O166" s="20" t="str">
        <f>IF(M$2&gt;='[6]6 цех result'!$C12,$AK166,"")</f>
        <v>Замена существующего и установка нового СТ -6300 кВА - 2шт.</v>
      </c>
      <c r="P166" s="20">
        <f>IF(P$2='[6]6 цех result'!$C12,'[6]6 цех_CapEx'!J12,0)</f>
        <v>0</v>
      </c>
      <c r="Q166" s="20">
        <f>IF(P$2&gt;='[6]6 цех result'!$D12,'[6]6 цех_CapEx'!J12,0)</f>
        <v>19470.67898275586</v>
      </c>
      <c r="R166" s="20" t="str">
        <f>IF(P$2&gt;='[6]6 цех result'!$C12,$AK166,"")</f>
        <v>Замена существующего и установка нового СТ -6300 кВА - 2шт.</v>
      </c>
      <c r="S166" s="20">
        <f>IF(S$2='[6]6 цех result'!$C12,'[6]6 цех_CapEx'!K12,0)</f>
        <v>0</v>
      </c>
      <c r="T166" s="20">
        <f>IF(S$2&gt;='[6]6 цех result'!$D12,'[6]6 цех_CapEx'!K12,0)</f>
        <v>0</v>
      </c>
      <c r="U166" s="20" t="str">
        <f>IF(S$2&gt;='[6]6 цех result'!$C12,$AK166,"")</f>
        <v>Замена существующего и установка нового СТ -6300 кВА - 2шт.</v>
      </c>
      <c r="V166" s="20">
        <f>IF(V$2='[6]6 цех result'!$C12,'[6]6 цех_CapEx'!L12,0)</f>
        <v>0</v>
      </c>
      <c r="W166" s="20">
        <f>IF(V$2&gt;='[6]6 цех result'!$D12,'[6]6 цех_CapEx'!L12,0)</f>
        <v>0</v>
      </c>
      <c r="X166" s="20" t="str">
        <f>IF(V$2&gt;='[6]6 цех result'!$C12,$AK166,"")</f>
        <v>Замена существующего и установка нового СТ -6300 кВА - 2шт.</v>
      </c>
      <c r="Y166" s="20">
        <f>IF(Y$2='[6]6 цех result'!$C12,'[6]6 цех_CapEx'!M12,0)</f>
        <v>0</v>
      </c>
      <c r="Z166" s="20">
        <f>IF(Y$2&gt;='[6]6 цех result'!$D12,'[6]6 цех_CapEx'!M12,0)</f>
        <v>0</v>
      </c>
      <c r="AA166" s="20" t="str">
        <f>IF(Y$2&gt;='[6]6 цех result'!$C12,$AK166,"")</f>
        <v>Замена существующего и установка нового СТ -6300 кВА - 2шт.</v>
      </c>
      <c r="AB166" s="20">
        <f>IF(AB$2='[6]6 цех result'!$C12,'[6]6 цех_CapEx'!N12,0)</f>
        <v>0</v>
      </c>
      <c r="AC166" s="20">
        <f>IF(AB$2&gt;='[6]6 цех result'!$D12,'[6]6 цех_CapEx'!N12,0)</f>
        <v>0</v>
      </c>
      <c r="AD166" s="20" t="str">
        <f>IF(AB$2&gt;='[6]6 цех result'!$C12,$AK166,"")</f>
        <v>Замена существующего и установка нового СТ -6300 кВА - 2шт.</v>
      </c>
      <c r="AE166" s="20">
        <f>IF(AE$2='[6]6 цех result'!$C12,'[6]6 цех_CapEx'!O12,0)</f>
        <v>0</v>
      </c>
      <c r="AF166" s="20">
        <f>IF(AE$2&gt;='[6]6 цех result'!$D12,'[6]6 цех_CapEx'!O12,0)</f>
        <v>0</v>
      </c>
      <c r="AG166" s="20" t="str">
        <f>IF(AE$2&gt;='[6]6 цех result'!$C12,$AK166,"")</f>
        <v>Замена существующего и установка нового СТ -6300 кВА - 2шт.</v>
      </c>
      <c r="AH166" s="20">
        <f>IF(AH$2='[6]6 цех result'!$C12,'[6]6 цех_CapEx'!P12,0)</f>
        <v>0</v>
      </c>
      <c r="AI166" s="20">
        <f>IF(AH$2&gt;='[6]6 цех result'!$D12,'[6]6 цех_CapEx'!P12,0)</f>
        <v>0</v>
      </c>
      <c r="AJ166" s="20" t="str">
        <f>IF(AH$2&gt;='[6]6 цех result'!$C12,$AK166,"")</f>
        <v>Замена существующего и установка нового СТ -6300 кВА - 2шт.</v>
      </c>
      <c r="AK166" s="12" t="s">
        <v>159</v>
      </c>
      <c r="AL166" s="19"/>
      <c r="AM166" s="71">
        <f t="shared" si="13"/>
        <v>38881.631873771657</v>
      </c>
      <c r="AN166" s="71">
        <f>'[6]6 цех_CapEx'!$V12</f>
        <v>38881.631873771657</v>
      </c>
      <c r="AO166" s="71">
        <f t="shared" si="14"/>
        <v>0</v>
      </c>
      <c r="AP166" s="273" t="s">
        <v>273</v>
      </c>
      <c r="AQ166" s="274" t="s">
        <v>269</v>
      </c>
    </row>
    <row r="167" spans="1:43" ht="225">
      <c r="A167" s="78">
        <v>136</v>
      </c>
      <c r="B167" s="19" t="str">
        <f>'[6]6 цех_CapEx'!$B13</f>
        <v>ПС 35/6кВ 4000кВА "Рассветская"</v>
      </c>
      <c r="C167" s="32">
        <f>'[6]6 цех_CapEx'!$W13</f>
        <v>1</v>
      </c>
      <c r="D167" s="20">
        <f>IF(D$2='[6]6 цех result'!$C13,'[6]6 цех_CapEx'!F13,0)</f>
        <v>0</v>
      </c>
      <c r="E167" s="20">
        <f>IF(D$2&gt;='[6]6 цех result'!$D13,'[6]6 цех_CapEx'!F13,0)</f>
        <v>0</v>
      </c>
      <c r="F167" s="20" t="str">
        <f>IF(D$2&gt;='[6]6 цех result'!$C13,$AK167,"")</f>
        <v/>
      </c>
      <c r="G167" s="20">
        <f>IF(G$2='[6]6 цех result'!$C13,'[6]6 цех_CapEx'!G13,0)</f>
        <v>0</v>
      </c>
      <c r="H167" s="20">
        <f>IF(G$2&gt;='[6]6 цех result'!$D13,'[6]6 цех_CapEx'!G13,0)</f>
        <v>0</v>
      </c>
      <c r="I167" s="20" t="str">
        <f>IF(G$2&gt;='[6]6 цех result'!$C13,$AK167,"")</f>
        <v/>
      </c>
      <c r="J167" s="20">
        <f>IF(J$2='[6]6 цех result'!$C13,'[6]6 цех_CapEx'!H13,0)</f>
        <v>534.53521317999991</v>
      </c>
      <c r="K167" s="20">
        <f>IF(J$2&gt;='[6]6 цех result'!$D13,'[6]6 цех_CapEx'!H13,0)</f>
        <v>0</v>
      </c>
      <c r="L167" s="20" t="str">
        <f>IF(J$2&gt;='[6]6 цех result'!$C13,$AK167,"")</f>
        <v xml:space="preserve">
Строительство 2-й секции 35 кВ, 6 кВ. Строительство ВЛ-35 кВ (2 источник питания) АС-95 - 9,2 км от ПС 35/6 кВ "Карагайская".
 Установка на ПС 35/6 кВ "Карагайская" ВВ-35 кВ - 1000 А - 1 шт.
 Установка БСК 6 кВ 0,4  Мвар, на 1 сек.и 0,45 Мвар, на 2 сш.</v>
      </c>
      <c r="M167" s="20">
        <f>IF(M$2='[6]6 цех result'!$C13,'[6]6 цех_CapEx'!I13,0)</f>
        <v>0</v>
      </c>
      <c r="N167" s="20">
        <f>IF(M$2&gt;='[6]6 цех result'!$D13,'[6]6 цех_CapEx'!I13,0)</f>
        <v>8920.11545404551</v>
      </c>
      <c r="O167" s="20" t="str">
        <f>IF(M$2&gt;='[6]6 цех result'!$C13,$AK167,"")</f>
        <v xml:space="preserve">
Строительство 2-й секции 35 кВ, 6 кВ. Строительство ВЛ-35 кВ (2 источник питания) АС-95 - 9,2 км от ПС 35/6 кВ "Карагайская".
 Установка на ПС 35/6 кВ "Карагайская" ВВ-35 кВ - 1000 А - 1 шт.
 Установка БСК 6 кВ 0,4  Мвар, на 1 сек.и 0,45 Мвар, на 2 сш.</v>
      </c>
      <c r="P167" s="20">
        <f>IF(P$2='[6]6 цех result'!$C13,'[6]6 цех_CapEx'!J13,0)</f>
        <v>0</v>
      </c>
      <c r="Q167" s="20">
        <f>IF(P$2&gt;='[6]6 цех result'!$D13,'[6]6 цех_CapEx'!J13,0)</f>
        <v>9473.1626121963327</v>
      </c>
      <c r="R167" s="20" t="str">
        <f>IF(P$2&gt;='[6]6 цех result'!$C13,$AK167,"")</f>
        <v xml:space="preserve">
Строительство 2-й секции 35 кВ, 6 кВ. Строительство ВЛ-35 кВ (2 источник питания) АС-95 - 9,2 км от ПС 35/6 кВ "Карагайская".
 Установка на ПС 35/6 кВ "Карагайская" ВВ-35 кВ - 1000 А - 1 шт.
 Установка БСК 6 кВ 0,4  Мвар, на 1 сек.и 0,45 Мвар, на 2 сш.</v>
      </c>
      <c r="S167" s="20">
        <f>IF(S$2='[6]6 цех result'!$C13,'[6]6 цех_CapEx'!K13,0)</f>
        <v>0</v>
      </c>
      <c r="T167" s="20">
        <f>IF(S$2&gt;='[6]6 цех result'!$D13,'[6]6 цех_CapEx'!K13,0)</f>
        <v>0</v>
      </c>
      <c r="U167" s="20" t="str">
        <f>IF(S$2&gt;='[6]6 цех result'!$C13,$AK167,"")</f>
        <v xml:space="preserve">
Строительство 2-й секции 35 кВ, 6 кВ. Строительство ВЛ-35 кВ (2 источник питания) АС-95 - 9,2 км от ПС 35/6 кВ "Карагайская".
 Установка на ПС 35/6 кВ "Карагайская" ВВ-35 кВ - 1000 А - 1 шт.
 Установка БСК 6 кВ 0,4  Мвар, на 1 сек.и 0,45 Мвар, на 2 сш.</v>
      </c>
      <c r="V167" s="20">
        <f>IF(V$2='[6]6 цех result'!$C13,'[6]6 цех_CapEx'!L13,0)</f>
        <v>0</v>
      </c>
      <c r="W167" s="20">
        <f>IF(V$2&gt;='[6]6 цех result'!$D13,'[6]6 цех_CapEx'!L13,0)</f>
        <v>0</v>
      </c>
      <c r="X167" s="20" t="str">
        <f>IF(V$2&gt;='[6]6 цех result'!$C13,$AK167,"")</f>
        <v xml:space="preserve">
Строительство 2-й секции 35 кВ, 6 кВ. Строительство ВЛ-35 кВ (2 источник питания) АС-95 - 9,2 км от ПС 35/6 кВ "Карагайская".
 Установка на ПС 35/6 кВ "Карагайская" ВВ-35 кВ - 1000 А - 1 шт.
 Установка БСК 6 кВ 0,4  Мвар, на 1 сек.и 0,45 Мвар, на 2 сш.</v>
      </c>
      <c r="Y167" s="20">
        <f>IF(Y$2='[6]6 цех result'!$C13,'[6]6 цех_CapEx'!M13,0)</f>
        <v>0</v>
      </c>
      <c r="Z167" s="20">
        <f>IF(Y$2&gt;='[6]6 цех result'!$D13,'[6]6 цех_CapEx'!M13,0)</f>
        <v>0</v>
      </c>
      <c r="AA167" s="20" t="str">
        <f>IF(Y$2&gt;='[6]6 цех result'!$C13,$AK167,"")</f>
        <v xml:space="preserve">
Строительство 2-й секции 35 кВ, 6 кВ. Строительство ВЛ-35 кВ (2 источник питания) АС-95 - 9,2 км от ПС 35/6 кВ "Карагайская".
 Установка на ПС 35/6 кВ "Карагайская" ВВ-35 кВ - 1000 А - 1 шт.
 Установка БСК 6 кВ 0,4  Мвар, на 1 сек.и 0,45 Мвар, на 2 сш.</v>
      </c>
      <c r="AB167" s="20">
        <f>IF(AB$2='[6]6 цех result'!$C13,'[6]6 цех_CapEx'!N13,0)</f>
        <v>0</v>
      </c>
      <c r="AC167" s="20">
        <f>IF(AB$2&gt;='[6]6 цех result'!$D13,'[6]6 цех_CapEx'!N13,0)</f>
        <v>0</v>
      </c>
      <c r="AD167" s="20" t="str">
        <f>IF(AB$2&gt;='[6]6 цех result'!$C13,$AK167,"")</f>
        <v xml:space="preserve">
Строительство 2-й секции 35 кВ, 6 кВ. Строительство ВЛ-35 кВ (2 источник питания) АС-95 - 9,2 км от ПС 35/6 кВ "Карагайская".
 Установка на ПС 35/6 кВ "Карагайская" ВВ-35 кВ - 1000 А - 1 шт.
 Установка БСК 6 кВ 0,4  Мвар, на 1 сек.и 0,45 Мвар, на 2 сш.</v>
      </c>
      <c r="AE167" s="20">
        <f>IF(AE$2='[6]6 цех result'!$C13,'[6]6 цех_CapEx'!O13,0)</f>
        <v>0</v>
      </c>
      <c r="AF167" s="20">
        <f>IF(AE$2&gt;='[6]6 цех result'!$D13,'[6]6 цех_CapEx'!O13,0)</f>
        <v>0</v>
      </c>
      <c r="AG167" s="20" t="str">
        <f>IF(AE$2&gt;='[6]6 цех result'!$C13,$AK167,"")</f>
        <v xml:space="preserve">
Строительство 2-й секции 35 кВ, 6 кВ. Строительство ВЛ-35 кВ (2 источник питания) АС-95 - 9,2 км от ПС 35/6 кВ "Карагайская".
 Установка на ПС 35/6 кВ "Карагайская" ВВ-35 кВ - 1000 А - 1 шт.
 Установка БСК 6 кВ 0,4  Мвар, на 1 сек.и 0,45 Мвар, на 2 сш.</v>
      </c>
      <c r="AH167" s="20">
        <f>IF(AH$2='[6]6 цех result'!$C13,'[6]6 цех_CapEx'!P13,0)</f>
        <v>0</v>
      </c>
      <c r="AI167" s="20">
        <f>IF(AH$2&gt;='[6]6 цех result'!$D13,'[6]6 цех_CapEx'!P13,0)</f>
        <v>0</v>
      </c>
      <c r="AJ167" s="20" t="str">
        <f>IF(AH$2&gt;='[6]6 цех result'!$C13,$AK167,"")</f>
        <v xml:space="preserve">
Строительство 2-й секции 35 кВ, 6 кВ. Строительство ВЛ-35 кВ (2 источник питания) АС-95 - 9,2 км от ПС 35/6 кВ "Карагайская".
 Установка на ПС 35/6 кВ "Карагайская" ВВ-35 кВ - 1000 А - 1 шт.
 Установка БСК 6 кВ 0,4  Мвар, на 1 сек.и 0,45 Мвар, на 2 сш.</v>
      </c>
      <c r="AK167" s="12" t="s">
        <v>160</v>
      </c>
      <c r="AL167" s="19"/>
      <c r="AM167" s="71">
        <f t="shared" si="13"/>
        <v>18927.81327942184</v>
      </c>
      <c r="AN167" s="71">
        <f>'[6]6 цех_CapEx'!$V13</f>
        <v>18927.81327942184</v>
      </c>
      <c r="AO167" s="71">
        <f t="shared" si="14"/>
        <v>0</v>
      </c>
      <c r="AP167" s="273"/>
      <c r="AQ167" s="274"/>
    </row>
    <row r="168" spans="1:43" ht="135">
      <c r="A168" s="78">
        <v>137</v>
      </c>
      <c r="B168" s="19" t="str">
        <f>'[6]6 цех_CapEx'!$B14</f>
        <v>ПС 35/6кВ 2х2500кВА "Колыванская"</v>
      </c>
      <c r="C168" s="32">
        <f>'[6]6 цех_CapEx'!$W14</f>
        <v>1</v>
      </c>
      <c r="D168" s="20">
        <f>IF(D$2='[6]6 цех result'!$C14,'[6]6 цех_CapEx'!F14,0)</f>
        <v>0</v>
      </c>
      <c r="E168" s="20">
        <f>IF(D$2&gt;='[6]6 цех result'!$D14,'[6]6 цех_CapEx'!F14,0)</f>
        <v>0</v>
      </c>
      <c r="F168" s="20" t="str">
        <f>IF(D$2&gt;='[6]6 цех result'!$C14,$AK168,"")</f>
        <v/>
      </c>
      <c r="G168" s="20">
        <f>IF(G$2='[6]6 цех result'!$C14,'[6]6 цех_CapEx'!G14,0)</f>
        <v>0</v>
      </c>
      <c r="H168" s="20">
        <f>IF(G$2&gt;='[6]6 цех result'!$D14,'[6]6 цех_CapEx'!G14,0)</f>
        <v>0</v>
      </c>
      <c r="I168" s="20" t="str">
        <f>IF(G$2&gt;='[6]6 цех result'!$C14,$AK168,"")</f>
        <v/>
      </c>
      <c r="J168" s="20">
        <f>IF(J$2='[6]6 цех result'!$C14,'[6]6 цех_CapEx'!H14,0)</f>
        <v>0</v>
      </c>
      <c r="K168" s="20">
        <f>IF(J$2&gt;='[6]6 цех result'!$D14,'[6]6 цех_CapEx'!H14,0)</f>
        <v>0</v>
      </c>
      <c r="L168" s="20" t="str">
        <f>IF(J$2&gt;='[6]6 цех result'!$C14,$AK168,"")</f>
        <v/>
      </c>
      <c r="M168" s="20">
        <f>IF(M$2='[6]6 цех result'!$C14,'[6]6 цех_CapEx'!I14,0)</f>
        <v>0</v>
      </c>
      <c r="N168" s="20">
        <f>IF(M$2&gt;='[6]6 цех result'!$D14,'[6]6 цех_CapEx'!I14,0)</f>
        <v>0</v>
      </c>
      <c r="O168" s="20" t="str">
        <f>IF(M$2&gt;='[6]6 цех result'!$C14,$AK168,"")</f>
        <v/>
      </c>
      <c r="P168" s="20">
        <f>IF(P$2='[6]6 цех result'!$C14,'[6]6 цех_CapEx'!J14,0)</f>
        <v>0</v>
      </c>
      <c r="Q168" s="20">
        <f>IF(P$2&gt;='[6]6 цех result'!$D14,'[6]6 цех_CapEx'!J14,0)</f>
        <v>0</v>
      </c>
      <c r="R168" s="20" t="str">
        <f>IF(P$2&gt;='[6]6 цех result'!$C14,$AK168,"")</f>
        <v/>
      </c>
      <c r="S168" s="20">
        <f>IF(S$2='[6]6 цех result'!$C14,'[6]6 цех_CapEx'!K14,0)</f>
        <v>0</v>
      </c>
      <c r="T168" s="20">
        <f>IF(S$2&gt;='[6]6 цех result'!$D14,'[6]6 цех_CapEx'!K14,0)</f>
        <v>0</v>
      </c>
      <c r="U168" s="20" t="str">
        <f>IF(S$2&gt;='[6]6 цех result'!$C14,$AK168,"")</f>
        <v/>
      </c>
      <c r="V168" s="20">
        <f>IF(V$2='[6]6 цех result'!$C14,'[6]6 цех_CapEx'!L14,0)</f>
        <v>755.87087438848073</v>
      </c>
      <c r="W168" s="20">
        <f>IF(V$2&gt;='[6]6 цех result'!$D14,'[6]6 цех_CapEx'!L14,0)</f>
        <v>0</v>
      </c>
      <c r="X168" s="20" t="str">
        <f>IF(V$2&gt;='[6]6 цех result'!$C14,$AK168,"")</f>
        <v xml:space="preserve">Замена   Т-1-Т; на Т 4000 кВА  - 1 шт. 
Установка реклоузера 35 кВ с дистанционным управлением Блок МВ-35 "Рассвет". Установка секционного разъединителя 35. АВР 6кВ. </v>
      </c>
      <c r="Y168" s="20">
        <f>IF(Y$2='[6]6 цех result'!$C14,'[6]6 цех_CapEx'!M14,0)</f>
        <v>0</v>
      </c>
      <c r="Z168" s="20">
        <f>IF(Y$2&gt;='[6]6 цех result'!$D14,'[6]6 цех_CapEx'!M14,0)</f>
        <v>0</v>
      </c>
      <c r="AA168" s="20" t="str">
        <f>IF(Y$2&gt;='[6]6 цех result'!$C14,$AK168,"")</f>
        <v xml:space="preserve">Замена   Т-1-Т; на Т 4000 кВА  - 1 шт. 
Установка реклоузера 35 кВ с дистанционным управлением Блок МВ-35 "Рассвет". Установка секционного разъединителя 35. АВР 6кВ. </v>
      </c>
      <c r="AB168" s="20">
        <f>IF(AB$2='[6]6 цех result'!$C14,'[6]6 цех_CapEx'!N14,0)</f>
        <v>0</v>
      </c>
      <c r="AC168" s="20">
        <f>IF(AB$2&gt;='[6]6 цех result'!$D14,'[6]6 цех_CapEx'!N14,0)</f>
        <v>25427.193866078742</v>
      </c>
      <c r="AD168" s="20" t="str">
        <f>IF(AB$2&gt;='[6]6 цех result'!$C14,$AK168,"")</f>
        <v xml:space="preserve">Замена   Т-1-Т; на Т 4000 кВА  - 1 шт. 
Установка реклоузера 35 кВ с дистанционным управлением Блок МВ-35 "Рассвет". Установка секционного разъединителя 35. АВР 6кВ. </v>
      </c>
      <c r="AE168" s="20">
        <f>IF(AE$2='[6]6 цех result'!$C14,'[6]6 цех_CapEx'!O14,0)</f>
        <v>0</v>
      </c>
      <c r="AF168" s="20">
        <f>IF(AE$2&gt;='[6]6 цех result'!$D14,'[6]6 цех_CapEx'!O14,0)</f>
        <v>0</v>
      </c>
      <c r="AG168" s="20" t="str">
        <f>IF(AE$2&gt;='[6]6 цех result'!$C14,$AK168,"")</f>
        <v xml:space="preserve">Замена   Т-1-Т; на Т 4000 кВА  - 1 шт. 
Установка реклоузера 35 кВ с дистанционным управлением Блок МВ-35 "Рассвет". Установка секционного разъединителя 35. АВР 6кВ. </v>
      </c>
      <c r="AH168" s="20">
        <f>IF(AH$2='[6]6 цех result'!$C14,'[6]6 цех_CapEx'!P14,0)</f>
        <v>0</v>
      </c>
      <c r="AI168" s="20">
        <f>IF(AH$2&gt;='[6]6 цех result'!$D14,'[6]6 цех_CapEx'!P14,0)</f>
        <v>0</v>
      </c>
      <c r="AJ168" s="20" t="str">
        <f>IF(AH$2&gt;='[6]6 цех result'!$C14,$AK168,"")</f>
        <v xml:space="preserve">Замена   Т-1-Т; на Т 4000 кВА  - 1 шт. 
Установка реклоузера 35 кВ с дистанционным управлением Блок МВ-35 "Рассвет". Установка секционного разъединителя 35. АВР 6кВ. </v>
      </c>
      <c r="AK168" s="12" t="s">
        <v>161</v>
      </c>
      <c r="AL168" s="19"/>
      <c r="AM168" s="71">
        <f t="shared" si="13"/>
        <v>26183.064740467224</v>
      </c>
      <c r="AN168" s="71">
        <f>'[6]6 цех_CapEx'!$V14</f>
        <v>26183.064740467224</v>
      </c>
      <c r="AO168" s="71">
        <f t="shared" si="14"/>
        <v>0</v>
      </c>
      <c r="AP168" s="54" t="s">
        <v>274</v>
      </c>
      <c r="AQ168" s="81" t="s">
        <v>269</v>
      </c>
    </row>
    <row r="169" spans="1:43" ht="45">
      <c r="A169" s="78">
        <v>138</v>
      </c>
      <c r="B169" s="19" t="str">
        <f>'[6]6 цех_CapEx'!$B15</f>
        <v>ПС 35/6кВ 2х4000кВА "Дзержинская"</v>
      </c>
      <c r="C169" s="32">
        <f>'[6]6 цех_CapEx'!$W15</f>
        <v>1</v>
      </c>
      <c r="D169" s="20">
        <f>IF(D$2='[6]6 цех result'!$C15,'[6]6 цех_CapEx'!F15,0)</f>
        <v>0</v>
      </c>
      <c r="E169" s="20">
        <f>IF(D$2&gt;='[6]6 цех result'!$D15,'[6]6 цех_CapEx'!F15,0)</f>
        <v>0</v>
      </c>
      <c r="F169" s="20" t="str">
        <f>IF(D$2&gt;='[6]6 цех result'!$C15,$AK169,"")</f>
        <v/>
      </c>
      <c r="G169" s="20">
        <f>IF(G$2='[6]6 цех result'!$C15,'[6]6 цех_CapEx'!G15,0)</f>
        <v>0</v>
      </c>
      <c r="H169" s="20">
        <f>IF(G$2&gt;='[6]6 цех result'!$D15,'[6]6 цех_CapEx'!G15,0)</f>
        <v>0</v>
      </c>
      <c r="I169" s="20" t="str">
        <f>IF(G$2&gt;='[6]6 цех result'!$C15,$AK169,"")</f>
        <v/>
      </c>
      <c r="J169" s="20">
        <f>IF(J$2='[6]6 цех result'!$C15,'[6]6 цех_CapEx'!H15,0)</f>
        <v>0</v>
      </c>
      <c r="K169" s="20">
        <f>IF(J$2&gt;='[6]6 цех result'!$D15,'[6]6 цех_CapEx'!H15,0)</f>
        <v>0</v>
      </c>
      <c r="L169" s="20" t="str">
        <f>IF(J$2&gt;='[6]6 цех result'!$C15,$AK169,"")</f>
        <v/>
      </c>
      <c r="M169" s="20">
        <f>IF(M$2='[6]6 цех result'!$C15,'[6]6 цех_CapEx'!I15,0)</f>
        <v>0</v>
      </c>
      <c r="N169" s="20">
        <f>IF(M$2&gt;='[6]6 цех result'!$D15,'[6]6 цех_CapEx'!I15,0)</f>
        <v>0</v>
      </c>
      <c r="O169" s="20" t="str">
        <f>IF(M$2&gt;='[6]6 цех result'!$C15,$AK169,"")</f>
        <v/>
      </c>
      <c r="P169" s="20">
        <f>IF(P$2='[6]6 цех result'!$C15,'[6]6 цех_CapEx'!J15,0)</f>
        <v>3159.2167202270966</v>
      </c>
      <c r="Q169" s="20">
        <f>IF(P$2&gt;='[6]6 цех result'!$D15,'[6]6 цех_CapEx'!J15,0)</f>
        <v>0</v>
      </c>
      <c r="R169" s="20" t="str">
        <f>IF(P$2&gt;='[6]6 цех result'!$C15,$AK169,"")</f>
        <v>КРУН-6 кВ - 20 ячеек</v>
      </c>
      <c r="S169" s="20">
        <f>IF(S$2='[6]6 цех result'!$C15,'[6]6 цех_CapEx'!K15,0)</f>
        <v>0</v>
      </c>
      <c r="T169" s="20">
        <f>IF(S$2&gt;='[6]6 цех result'!$D15,'[6]6 цех_CapEx'!K15,0)</f>
        <v>0</v>
      </c>
      <c r="U169" s="20" t="str">
        <f>IF(S$2&gt;='[6]6 цех result'!$C15,$AK169,"")</f>
        <v>КРУН-6 кВ - 20 ячеек</v>
      </c>
      <c r="V169" s="20">
        <f>IF(V$2='[6]6 цех result'!$C15,'[6]6 цех_CapEx'!L15,0)</f>
        <v>0</v>
      </c>
      <c r="W169" s="20">
        <f>IF(V$2&gt;='[6]6 цех result'!$D15,'[6]6 цех_CapEx'!L15,0)</f>
        <v>113154.45507255397</v>
      </c>
      <c r="X169" s="20" t="str">
        <f>IF(V$2&gt;='[6]6 цех result'!$C15,$AK169,"")</f>
        <v>КРУН-6 кВ - 20 ячеек</v>
      </c>
      <c r="Y169" s="20">
        <f>IF(Y$2='[6]6 цех result'!$C15,'[6]6 цех_CapEx'!M15,0)</f>
        <v>0</v>
      </c>
      <c r="Z169" s="20">
        <f>IF(Y$2&gt;='[6]6 цех result'!$D15,'[6]6 цех_CapEx'!M15,0)</f>
        <v>0</v>
      </c>
      <c r="AA169" s="20" t="str">
        <f>IF(Y$2&gt;='[6]6 цех result'!$C15,$AK169,"")</f>
        <v>КРУН-6 кВ - 20 ячеек</v>
      </c>
      <c r="AB169" s="20">
        <f>IF(AB$2='[6]6 цех result'!$C15,'[6]6 цех_CapEx'!N15,0)</f>
        <v>0</v>
      </c>
      <c r="AC169" s="20">
        <f>IF(AB$2&gt;='[6]6 цех result'!$D15,'[6]6 цех_CapEx'!N15,0)</f>
        <v>0</v>
      </c>
      <c r="AD169" s="20" t="str">
        <f>IF(AB$2&gt;='[6]6 цех result'!$C15,$AK169,"")</f>
        <v>КРУН-6 кВ - 20 ячеек</v>
      </c>
      <c r="AE169" s="20">
        <f>IF(AE$2='[6]6 цех result'!$C15,'[6]6 цех_CapEx'!O15,0)</f>
        <v>0</v>
      </c>
      <c r="AF169" s="20">
        <f>IF(AE$2&gt;='[6]6 цех result'!$D15,'[6]6 цех_CapEx'!O15,0)</f>
        <v>0</v>
      </c>
      <c r="AG169" s="20" t="str">
        <f>IF(AE$2&gt;='[6]6 цех result'!$C15,$AK169,"")</f>
        <v>КРУН-6 кВ - 20 ячеек</v>
      </c>
      <c r="AH169" s="20">
        <f>IF(AH$2='[6]6 цех result'!$C15,'[6]6 цех_CapEx'!P15,0)</f>
        <v>0</v>
      </c>
      <c r="AI169" s="20">
        <f>IF(AH$2&gt;='[6]6 цех result'!$D15,'[6]6 цех_CapEx'!P15,0)</f>
        <v>0</v>
      </c>
      <c r="AJ169" s="20" t="str">
        <f>IF(AH$2&gt;='[6]6 цех result'!$C15,$AK169,"")</f>
        <v>КРУН-6 кВ - 20 ячеек</v>
      </c>
      <c r="AK169" s="12" t="s">
        <v>162</v>
      </c>
      <c r="AL169" s="19"/>
      <c r="AM169" s="71">
        <f t="shared" si="13"/>
        <v>116313.67179278107</v>
      </c>
      <c r="AN169" s="71">
        <f>'[6]6 цех_CapEx'!$V15</f>
        <v>116313.67179278107</v>
      </c>
      <c r="AO169" s="71">
        <f t="shared" si="14"/>
        <v>0</v>
      </c>
      <c r="AP169" s="54" t="s">
        <v>275</v>
      </c>
      <c r="AQ169" s="81" t="s">
        <v>269</v>
      </c>
    </row>
    <row r="170" spans="1:43" ht="75">
      <c r="A170" s="78">
        <v>139</v>
      </c>
      <c r="B170" s="19" t="str">
        <f>'[6]6 цех_CapEx'!$B16</f>
        <v>ПС 35/6кВ 2х4000кВА "Тверская"</v>
      </c>
      <c r="C170" s="32">
        <f>'[6]6 цех_CapEx'!$W16</f>
        <v>1</v>
      </c>
      <c r="D170" s="20">
        <f>IF(D$2='[6]6 цех result'!$C16,'[6]6 цех_CapEx'!F16,0)</f>
        <v>0</v>
      </c>
      <c r="E170" s="20">
        <f>IF(D$2&gt;='[6]6 цех result'!$D16,'[6]6 цех_CapEx'!F16,0)</f>
        <v>0</v>
      </c>
      <c r="F170" s="20" t="str">
        <f>IF(D$2&gt;='[6]6 цех result'!$C16,$AK170,"")</f>
        <v/>
      </c>
      <c r="G170" s="20">
        <f>IF(G$2='[6]6 цех result'!$C16,'[6]6 цех_CapEx'!G16,0)</f>
        <v>0</v>
      </c>
      <c r="H170" s="20">
        <f>IF(G$2&gt;='[6]6 цех result'!$D16,'[6]6 цех_CapEx'!G16,0)</f>
        <v>0</v>
      </c>
      <c r="I170" s="20" t="str">
        <f>IF(G$2&gt;='[6]6 цех result'!$C16,$AK170,"")</f>
        <v/>
      </c>
      <c r="J170" s="20">
        <f>IF(J$2='[6]6 цех result'!$C16,'[6]6 цех_CapEx'!H16,0)</f>
        <v>0</v>
      </c>
      <c r="K170" s="20">
        <f>IF(J$2&gt;='[6]6 цех result'!$D16,'[6]6 цех_CapEx'!H16,0)</f>
        <v>0</v>
      </c>
      <c r="L170" s="20" t="str">
        <f>IF(J$2&gt;='[6]6 цех result'!$C16,$AK170,"")</f>
        <v/>
      </c>
      <c r="M170" s="20">
        <f>IF(M$2='[6]6 цех result'!$C16,'[6]6 цех_CapEx'!I16,0)</f>
        <v>0</v>
      </c>
      <c r="N170" s="20">
        <f>IF(M$2&gt;='[6]6 цех result'!$D16,'[6]6 цех_CapEx'!I16,0)</f>
        <v>0</v>
      </c>
      <c r="O170" s="20" t="str">
        <f>IF(M$2&gt;='[6]6 цех result'!$C16,$AK170,"")</f>
        <v/>
      </c>
      <c r="P170" s="20">
        <f>IF(P$2='[6]6 цех result'!$C16,'[6]6 цех_CapEx'!J16,0)</f>
        <v>2973.207613973892</v>
      </c>
      <c r="Q170" s="20">
        <f>IF(P$2&gt;='[6]6 цех result'!$D16,'[6]6 цех_CapEx'!J16,0)</f>
        <v>0</v>
      </c>
      <c r="R170" s="20" t="str">
        <f>IF(P$2&gt;='[6]6 цех result'!$C16,$AK170,"")</f>
        <v>ВВ-35 кВ -1000А - 4 шт, 
СВВ-35 кВ-1000А - 1шт
КРУН-6 кВ - 18 ячеек</v>
      </c>
      <c r="S170" s="20">
        <f>IF(S$2='[6]6 цех result'!$C16,'[6]6 цех_CapEx'!K16,0)</f>
        <v>0</v>
      </c>
      <c r="T170" s="20">
        <f>IF(S$2&gt;='[6]6 цех result'!$D16,'[6]6 цех_CapEx'!K16,0)</f>
        <v>101421.06705867275</v>
      </c>
      <c r="U170" s="20" t="str">
        <f>IF(S$2&gt;='[6]6 цех result'!$C16,$AK170,"")</f>
        <v>ВВ-35 кВ -1000А - 4 шт, 
СВВ-35 кВ-1000А - 1шт
КРУН-6 кВ - 18 ячеек</v>
      </c>
      <c r="V170" s="20">
        <f>IF(V$2='[6]6 цех result'!$C16,'[6]6 цех_CapEx'!L16,0)</f>
        <v>0</v>
      </c>
      <c r="W170" s="20">
        <f>IF(V$2&gt;='[6]6 цех result'!$D16,'[6]6 цех_CapEx'!L16,0)</f>
        <v>0</v>
      </c>
      <c r="X170" s="20" t="str">
        <f>IF(V$2&gt;='[6]6 цех result'!$C16,$AK170,"")</f>
        <v>ВВ-35 кВ -1000А - 4 шт, 
СВВ-35 кВ-1000А - 1шт
КРУН-6 кВ - 18 ячеек</v>
      </c>
      <c r="Y170" s="20">
        <f>IF(Y$2='[6]6 цех result'!$C16,'[6]6 цех_CapEx'!M16,0)</f>
        <v>0</v>
      </c>
      <c r="Z170" s="20">
        <f>IF(Y$2&gt;='[6]6 цех result'!$D16,'[6]6 цех_CapEx'!M16,0)</f>
        <v>0</v>
      </c>
      <c r="AA170" s="20" t="str">
        <f>IF(Y$2&gt;='[6]6 цех result'!$C16,$AK170,"")</f>
        <v>ВВ-35 кВ -1000А - 4 шт, 
СВВ-35 кВ-1000А - 1шт
КРУН-6 кВ - 18 ячеек</v>
      </c>
      <c r="AB170" s="20">
        <f>IF(AB$2='[6]6 цех result'!$C16,'[6]6 цех_CapEx'!N16,0)</f>
        <v>0</v>
      </c>
      <c r="AC170" s="20">
        <f>IF(AB$2&gt;='[6]6 цех result'!$D16,'[6]6 цех_CapEx'!N16,0)</f>
        <v>0</v>
      </c>
      <c r="AD170" s="20" t="str">
        <f>IF(AB$2&gt;='[6]6 цех result'!$C16,$AK170,"")</f>
        <v>ВВ-35 кВ -1000А - 4 шт, 
СВВ-35 кВ-1000А - 1шт
КРУН-6 кВ - 18 ячеек</v>
      </c>
      <c r="AE170" s="20">
        <f>IF(AE$2='[6]6 цех result'!$C16,'[6]6 цех_CapEx'!O16,0)</f>
        <v>0</v>
      </c>
      <c r="AF170" s="20">
        <f>IF(AE$2&gt;='[6]6 цех result'!$D16,'[6]6 цех_CapEx'!O16,0)</f>
        <v>0</v>
      </c>
      <c r="AG170" s="20" t="str">
        <f>IF(AE$2&gt;='[6]6 цех result'!$C16,$AK170,"")</f>
        <v>ВВ-35 кВ -1000А - 4 шт, 
СВВ-35 кВ-1000А - 1шт
КРУН-6 кВ - 18 ячеек</v>
      </c>
      <c r="AH170" s="20">
        <f>IF(AH$2='[6]6 цех result'!$C16,'[6]6 цех_CapEx'!P16,0)</f>
        <v>0</v>
      </c>
      <c r="AI170" s="20">
        <f>IF(AH$2&gt;='[6]6 цех result'!$D16,'[6]6 цех_CapEx'!P16,0)</f>
        <v>0</v>
      </c>
      <c r="AJ170" s="20" t="str">
        <f>IF(AH$2&gt;='[6]6 цех result'!$C16,$AK170,"")</f>
        <v>ВВ-35 кВ -1000А - 4 шт, 
СВВ-35 кВ-1000А - 1шт
КРУН-6 кВ - 18 ячеек</v>
      </c>
      <c r="AK170" s="12" t="s">
        <v>164</v>
      </c>
      <c r="AL170" s="19"/>
      <c r="AM170" s="71">
        <f t="shared" si="13"/>
        <v>104394.27467264664</v>
      </c>
      <c r="AN170" s="71">
        <f>'[6]6 цех_CapEx'!$V16</f>
        <v>104394.27467264664</v>
      </c>
      <c r="AO170" s="71">
        <f t="shared" si="14"/>
        <v>0</v>
      </c>
      <c r="AP170" s="54" t="s">
        <v>276</v>
      </c>
      <c r="AQ170" s="81" t="s">
        <v>269</v>
      </c>
    </row>
    <row r="171" spans="1:43" s="38" customFormat="1" hidden="1">
      <c r="A171" s="78">
        <f>A170+1</f>
        <v>140</v>
      </c>
      <c r="B171" s="27" t="s">
        <v>18</v>
      </c>
      <c r="C171" s="41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30"/>
      <c r="AL171" s="27"/>
      <c r="AM171" s="27"/>
      <c r="AN171" s="27"/>
      <c r="AO171" s="27"/>
      <c r="AP171" s="61"/>
      <c r="AQ171" s="77"/>
    </row>
    <row r="172" spans="1:43" ht="120">
      <c r="A172" s="78">
        <v>140</v>
      </c>
      <c r="B172" s="19" t="str">
        <f>'[6]6 цех_CapEx'!$B18</f>
        <v xml:space="preserve">ПС 35/6кВ Дзержинская </v>
      </c>
      <c r="C172" s="32">
        <f>'[6]6 цех_CapEx'!$W18</f>
        <v>1</v>
      </c>
      <c r="D172" s="20">
        <f>IF(D$2='[6]6 цех result'!$C18,'[6]6 цех_CapEx'!F18,0)</f>
        <v>0</v>
      </c>
      <c r="E172" s="20">
        <f>IF(D$2&gt;='[6]6 цех result'!$D18,'[6]6 цех_CapEx'!F18,0)</f>
        <v>0</v>
      </c>
      <c r="F172" s="20" t="str">
        <f>IF(D$2&gt;='[6]6 цех result'!$C18,$AK172,"")</f>
        <v/>
      </c>
      <c r="G172" s="20">
        <f>IF(G$2='[6]6 цех result'!$C18,'[6]6 цех_CapEx'!G18,0)</f>
        <v>0</v>
      </c>
      <c r="H172" s="20">
        <f>IF(G$2&gt;='[6]6 цех result'!$D18,'[6]6 цех_CapEx'!G18,0)</f>
        <v>0</v>
      </c>
      <c r="I172" s="20" t="str">
        <f>IF(G$2&gt;='[6]6 цех result'!$C18,$AK172,"")</f>
        <v/>
      </c>
      <c r="J172" s="20">
        <f>IF(J$2='[6]6 цех result'!$C18,'[6]6 цех_CapEx'!H18,0)</f>
        <v>0</v>
      </c>
      <c r="K172" s="20">
        <f>IF(J$2&gt;='[6]6 цех result'!$D18,'[6]6 цех_CapEx'!H18,0)</f>
        <v>0</v>
      </c>
      <c r="L172" s="20" t="str">
        <f>IF(J$2&gt;='[6]6 цех result'!$C18,$AK172,"")</f>
        <v/>
      </c>
      <c r="M172" s="20">
        <f>IF(M$2='[6]6 цех result'!$C18,'[6]6 цех_CapEx'!I18,0)</f>
        <v>0</v>
      </c>
      <c r="N172" s="20">
        <f>IF(M$2&gt;='[6]6 цех result'!$D18,'[6]6 цех_CapEx'!I18,0)</f>
        <v>0</v>
      </c>
      <c r="O172" s="20" t="str">
        <f>IF(M$2&gt;='[6]6 цех result'!$C18,$AK172,"")</f>
        <v/>
      </c>
      <c r="P172" s="20">
        <f>IF(P$2='[6]6 цех result'!$C18,'[6]6 цех_CapEx'!J18,0)</f>
        <v>4.8620874112934755</v>
      </c>
      <c r="Q172" s="20">
        <f>IF(P$2&gt;='[6]6 цех result'!$D18,'[6]6 цех_CapEx'!J18,0)</f>
        <v>0</v>
      </c>
      <c r="R172" s="20" t="str">
        <f>IF(P$2&gt;='[6]6 цех result'!$C18,$AK172,"")</f>
        <v xml:space="preserve">Замена Т1-Т, Т-2Т; 2 шт.
Монтаж АВР 6кВ. Оборудование СВ-35 дистанционным управлением или автоматикой включения. </v>
      </c>
      <c r="S172" s="20">
        <f>IF(S$2='[6]6 цех result'!$C18,'[6]6 цех_CapEx'!K18,0)</f>
        <v>0</v>
      </c>
      <c r="T172" s="20">
        <f>IF(S$2&gt;='[6]6 цех result'!$D18,'[6]6 цех_CapEx'!K18,0)</f>
        <v>0</v>
      </c>
      <c r="U172" s="20" t="str">
        <f>IF(S$2&gt;='[6]6 цех result'!$C18,$AK172,"")</f>
        <v xml:space="preserve">Замена Т1-Т, Т-2Т; 2 шт.
Монтаж АВР 6кВ. Оборудование СВ-35 дистанционным управлением или автоматикой включения. </v>
      </c>
      <c r="V172" s="20">
        <f>IF(V$2='[6]6 цех result'!$C18,'[6]6 цех_CapEx'!L18,0)</f>
        <v>0</v>
      </c>
      <c r="W172" s="20">
        <f>IF(V$2&gt;='[6]6 цех result'!$D18,'[6]6 цех_CapEx'!L18,0)</f>
        <v>174.14660033215122</v>
      </c>
      <c r="X172" s="20" t="str">
        <f>IF(V$2&gt;='[6]6 цех result'!$C18,$AK172,"")</f>
        <v xml:space="preserve">Замена Т1-Т, Т-2Т; 2 шт.
Монтаж АВР 6кВ. Оборудование СВ-35 дистанционным управлением или автоматикой включения. </v>
      </c>
      <c r="Y172" s="20">
        <f>IF(Y$2='[6]6 цех result'!$C18,'[6]6 цех_CapEx'!M18,0)</f>
        <v>0</v>
      </c>
      <c r="Z172" s="20">
        <f>IF(Y$2&gt;='[6]6 цех result'!$D18,'[6]6 цех_CapEx'!M18,0)</f>
        <v>0</v>
      </c>
      <c r="AA172" s="20" t="str">
        <f>IF(Y$2&gt;='[6]6 цех result'!$C18,$AK172,"")</f>
        <v xml:space="preserve">Замена Т1-Т, Т-2Т; 2 шт.
Монтаж АВР 6кВ. Оборудование СВ-35 дистанционным управлением или автоматикой включения. </v>
      </c>
      <c r="AB172" s="20">
        <f>IF(AB$2='[6]6 цех result'!$C18,'[6]6 цех_CapEx'!N18,0)</f>
        <v>0</v>
      </c>
      <c r="AC172" s="20">
        <f>IF(AB$2&gt;='[6]6 цех result'!$D18,'[6]6 цех_CapEx'!N18,0)</f>
        <v>0</v>
      </c>
      <c r="AD172" s="20" t="str">
        <f>IF(AB$2&gt;='[6]6 цех result'!$C18,$AK172,"")</f>
        <v xml:space="preserve">Замена Т1-Т, Т-2Т; 2 шт.
Монтаж АВР 6кВ. Оборудование СВ-35 дистанционным управлением или автоматикой включения. </v>
      </c>
      <c r="AE172" s="20">
        <f>IF(AE$2='[6]6 цех result'!$C18,'[6]6 цех_CapEx'!O18,0)</f>
        <v>0</v>
      </c>
      <c r="AF172" s="20">
        <f>IF(AE$2&gt;='[6]6 цех result'!$D18,'[6]6 цех_CapEx'!O18,0)</f>
        <v>0</v>
      </c>
      <c r="AG172" s="20" t="str">
        <f>IF(AE$2&gt;='[6]6 цех result'!$C18,$AK172,"")</f>
        <v xml:space="preserve">Замена Т1-Т, Т-2Т; 2 шт.
Монтаж АВР 6кВ. Оборудование СВ-35 дистанционным управлением или автоматикой включения. </v>
      </c>
      <c r="AH172" s="20">
        <f>IF(AH$2='[6]6 цех result'!$C18,'[6]6 цех_CapEx'!P18,0)</f>
        <v>0</v>
      </c>
      <c r="AI172" s="20">
        <f>IF(AH$2&gt;='[6]6 цех result'!$D18,'[6]6 цех_CapEx'!P18,0)</f>
        <v>0</v>
      </c>
      <c r="AJ172" s="20" t="str">
        <f>IF(AH$2&gt;='[6]6 цех result'!$C18,$AK172,"")</f>
        <v xml:space="preserve">Замена Т1-Т, Т-2Т; 2 шт.
Монтаж АВР 6кВ. Оборудование СВ-35 дистанционным управлением или автоматикой включения. </v>
      </c>
      <c r="AK172" s="12" t="s">
        <v>163</v>
      </c>
      <c r="AL172" s="19"/>
      <c r="AM172" s="71">
        <f t="shared" ref="AM172:AM178" si="15">SUM(D172:AJ172)</f>
        <v>179.00868774344471</v>
      </c>
      <c r="AN172" s="71">
        <f>'[6]6 цех_CapEx'!$V18</f>
        <v>179.00868774344471</v>
      </c>
      <c r="AO172" s="71">
        <f t="shared" ref="AO172:AO178" si="16">AM172-AN172</f>
        <v>0</v>
      </c>
      <c r="AP172" s="54" t="s">
        <v>275</v>
      </c>
      <c r="AQ172" s="81" t="s">
        <v>269</v>
      </c>
    </row>
    <row r="173" spans="1:43" ht="60">
      <c r="A173" s="78">
        <v>141</v>
      </c>
      <c r="B173" s="19" t="str">
        <f>'[6]6 цех_CapEx'!$B19</f>
        <v>ПС 110/35/6 кВ Кудиновская 110</v>
      </c>
      <c r="C173" s="32">
        <f>'[6]6 цех_CapEx'!$W19</f>
        <v>1</v>
      </c>
      <c r="D173" s="20">
        <f>IF(D$2='[6]6 цех result'!$C19,'[6]6 цех_CapEx'!F19,0)</f>
        <v>0</v>
      </c>
      <c r="E173" s="20">
        <f>IF(D$2&gt;='[6]6 цех result'!$D19,'[6]6 цех_CapEx'!F19,0)</f>
        <v>0</v>
      </c>
      <c r="F173" s="20" t="str">
        <f>IF(D$2&gt;='[6]6 цех result'!$C19,$AK173,"")</f>
        <v/>
      </c>
      <c r="G173" s="20">
        <f>IF(G$2='[6]6 цех result'!$C19,'[6]6 цех_CapEx'!G19,0)</f>
        <v>0</v>
      </c>
      <c r="H173" s="20">
        <f>IF(G$2&gt;='[6]6 цех result'!$D19,'[6]6 цех_CapEx'!G19,0)</f>
        <v>0</v>
      </c>
      <c r="I173" s="20" t="str">
        <f>IF(G$2&gt;='[6]6 цех result'!$C19,$AK173,"")</f>
        <v/>
      </c>
      <c r="J173" s="20">
        <f>IF(J$2='[6]6 цех result'!$C19,'[6]6 цех_CapEx'!H19,0)</f>
        <v>0</v>
      </c>
      <c r="K173" s="20">
        <f>IF(J$2&gt;='[6]6 цех result'!$D19,'[6]6 цех_CapEx'!H19,0)</f>
        <v>0</v>
      </c>
      <c r="L173" s="20" t="str">
        <f>IF(J$2&gt;='[6]6 цех result'!$C19,$AK173,"")</f>
        <v/>
      </c>
      <c r="M173" s="20">
        <f>IF(M$2='[6]6 цех result'!$C19,'[6]6 цех_CapEx'!I19,0)</f>
        <v>5673.8818490819394</v>
      </c>
      <c r="N173" s="20">
        <f>IF(M$2&gt;='[6]6 цех result'!$D19,'[6]6 цех_CapEx'!I19,0)</f>
        <v>0</v>
      </c>
      <c r="O173" s="20" t="str">
        <f>IF(M$2&gt;='[6]6 цех result'!$C19,$AK173,"")</f>
        <v xml:space="preserve">
Установка СВ 110. Монтаж АВР 35 кВ и АВР 6 кВ</v>
      </c>
      <c r="P173" s="20">
        <f>IF(P$2='[6]6 цех result'!$C19,'[6]6 цех_CapEx'!J19,0)</f>
        <v>0</v>
      </c>
      <c r="Q173" s="20">
        <f>IF(P$2&gt;='[6]6 цех result'!$D19,'[6]6 цех_CapEx'!J19,0)</f>
        <v>0</v>
      </c>
      <c r="R173" s="20" t="str">
        <f>IF(P$2&gt;='[6]6 цех result'!$C19,$AK173,"")</f>
        <v xml:space="preserve">
Установка СВ 110. Монтаж АВР 35 кВ и АВР 6 кВ</v>
      </c>
      <c r="S173" s="20">
        <f>IF(S$2='[6]6 цех result'!$C19,'[6]6 цех_CapEx'!K19,0)</f>
        <v>0</v>
      </c>
      <c r="T173" s="20">
        <f>IF(S$2&gt;='[6]6 цех result'!$D19,'[6]6 цех_CapEx'!K19,0)</f>
        <v>99594.159201929404</v>
      </c>
      <c r="U173" s="20" t="str">
        <f>IF(S$2&gt;='[6]6 цех result'!$C19,$AK173,"")</f>
        <v xml:space="preserve">
Установка СВ 110. Монтаж АВР 35 кВ и АВР 6 кВ</v>
      </c>
      <c r="V173" s="20">
        <f>IF(V$2='[6]6 цех result'!$C19,'[6]6 цех_CapEx'!L19,0)</f>
        <v>0</v>
      </c>
      <c r="W173" s="20">
        <f>IF(V$2&gt;='[6]6 цех result'!$D19,'[6]6 цех_CapEx'!L19,0)</f>
        <v>0</v>
      </c>
      <c r="X173" s="20" t="str">
        <f>IF(V$2&gt;='[6]6 цех result'!$C19,$AK173,"")</f>
        <v xml:space="preserve">
Установка СВ 110. Монтаж АВР 35 кВ и АВР 6 кВ</v>
      </c>
      <c r="Y173" s="20">
        <f>IF(Y$2='[6]6 цех result'!$C19,'[6]6 цех_CapEx'!M19,0)</f>
        <v>0</v>
      </c>
      <c r="Z173" s="20">
        <f>IF(Y$2&gt;='[6]6 цех result'!$D19,'[6]6 цех_CapEx'!M19,0)</f>
        <v>0</v>
      </c>
      <c r="AA173" s="20" t="str">
        <f>IF(Y$2&gt;='[6]6 цех result'!$C19,$AK173,"")</f>
        <v xml:space="preserve">
Установка СВ 110. Монтаж АВР 35 кВ и АВР 6 кВ</v>
      </c>
      <c r="AB173" s="20">
        <f>IF(AB$2='[6]6 цех result'!$C19,'[6]6 цех_CapEx'!N19,0)</f>
        <v>0</v>
      </c>
      <c r="AC173" s="20">
        <f>IF(AB$2&gt;='[6]6 цех result'!$D19,'[6]6 цех_CapEx'!N19,0)</f>
        <v>0</v>
      </c>
      <c r="AD173" s="20" t="str">
        <f>IF(AB$2&gt;='[6]6 цех result'!$C19,$AK173,"")</f>
        <v xml:space="preserve">
Установка СВ 110. Монтаж АВР 35 кВ и АВР 6 кВ</v>
      </c>
      <c r="AE173" s="20">
        <f>IF(AE$2='[6]6 цех result'!$C19,'[6]6 цех_CapEx'!O19,0)</f>
        <v>0</v>
      </c>
      <c r="AF173" s="20">
        <f>IF(AE$2&gt;='[6]6 цех result'!$D19,'[6]6 цех_CapEx'!O19,0)</f>
        <v>0</v>
      </c>
      <c r="AG173" s="20" t="str">
        <f>IF(AE$2&gt;='[6]6 цех result'!$C19,$AK173,"")</f>
        <v xml:space="preserve">
Установка СВ 110. Монтаж АВР 35 кВ и АВР 6 кВ</v>
      </c>
      <c r="AH173" s="20">
        <f>IF(AH$2='[6]6 цех result'!$C19,'[6]6 цех_CapEx'!P19,0)</f>
        <v>0</v>
      </c>
      <c r="AI173" s="20">
        <f>IF(AH$2&gt;='[6]6 цех result'!$D19,'[6]6 цех_CapEx'!P19,0)</f>
        <v>0</v>
      </c>
      <c r="AJ173" s="20" t="str">
        <f>IF(AH$2&gt;='[6]6 цех result'!$C19,$AK173,"")</f>
        <v xml:space="preserve">
Установка СВ 110. Монтаж АВР 35 кВ и АВР 6 кВ</v>
      </c>
      <c r="AK173" s="12" t="s">
        <v>155</v>
      </c>
      <c r="AL173" s="19"/>
      <c r="AM173" s="71">
        <f t="shared" si="15"/>
        <v>105268.04105101134</v>
      </c>
      <c r="AN173" s="71">
        <f>'[6]6 цех_CapEx'!$V19</f>
        <v>105268.04105101134</v>
      </c>
      <c r="AO173" s="71">
        <f t="shared" si="16"/>
        <v>0</v>
      </c>
      <c r="AP173" s="53" t="s">
        <v>268</v>
      </c>
      <c r="AQ173" s="81" t="s">
        <v>269</v>
      </c>
    </row>
    <row r="174" spans="1:43" ht="90">
      <c r="A174" s="78">
        <v>142</v>
      </c>
      <c r="B174" s="19" t="str">
        <f>'[6]6 цех_CapEx'!$B20</f>
        <v>ПС 35/6кВ Тверская</v>
      </c>
      <c r="C174" s="32">
        <f>'[6]6 цех_CapEx'!$W20</f>
        <v>1</v>
      </c>
      <c r="D174" s="20">
        <f>IF(D$2='[6]6 цех result'!$C20,'[6]6 цех_CapEx'!F20,0)</f>
        <v>0</v>
      </c>
      <c r="E174" s="20">
        <f>IF(D$2&gt;='[6]6 цех result'!$D20,'[6]6 цех_CapEx'!F20,0)</f>
        <v>0</v>
      </c>
      <c r="F174" s="20" t="str">
        <f>IF(D$2&gt;='[6]6 цех result'!$C20,$AK174,"")</f>
        <v/>
      </c>
      <c r="G174" s="20">
        <f>IF(G$2='[6]6 цех result'!$C20,'[6]6 цех_CapEx'!G20,0)</f>
        <v>72.946601400000006</v>
      </c>
      <c r="H174" s="20">
        <f>IF(G$2&gt;='[6]6 цех result'!$D20,'[6]6 цех_CapEx'!G20,0)</f>
        <v>0</v>
      </c>
      <c r="I174" s="20" t="str">
        <f>IF(G$2&gt;='[6]6 цех result'!$C20,$AK174,"")</f>
        <v>Оборудование В-35 Тверская  дистанционным управлением или автоматикой включения.</v>
      </c>
      <c r="J174" s="20">
        <f>IF(J$2='[6]6 цех result'!$C20,'[6]6 цех_CapEx'!H20,0)</f>
        <v>0</v>
      </c>
      <c r="K174" s="20">
        <f>IF(J$2&gt;='[6]6 цех result'!$D20,'[6]6 цех_CapEx'!H20,0)</f>
        <v>2500.1231853160002</v>
      </c>
      <c r="L174" s="20" t="str">
        <f>IF(J$2&gt;='[6]6 цех result'!$C20,$AK174,"")</f>
        <v>Оборудование В-35 Тверская  дистанционным управлением или автоматикой включения.</v>
      </c>
      <c r="M174" s="20">
        <f>IF(M$2='[6]6 цех result'!$C20,'[6]6 цех_CapEx'!I20,0)</f>
        <v>0</v>
      </c>
      <c r="N174" s="20">
        <f>IF(M$2&gt;='[6]6 цех result'!$D20,'[6]6 цех_CapEx'!I20,0)</f>
        <v>0</v>
      </c>
      <c r="O174" s="20" t="str">
        <f>IF(M$2&gt;='[6]6 цех result'!$C20,$AK174,"")</f>
        <v>Оборудование В-35 Тверская  дистанционным управлением или автоматикой включения.</v>
      </c>
      <c r="P174" s="20">
        <f>IF(P$2='[6]6 цех result'!$C20,'[6]6 цех_CapEx'!J20,0)</f>
        <v>0</v>
      </c>
      <c r="Q174" s="20">
        <f>IF(P$2&gt;='[6]6 цех result'!$D20,'[6]6 цех_CapEx'!J20,0)</f>
        <v>0</v>
      </c>
      <c r="R174" s="20" t="str">
        <f>IF(P$2&gt;='[6]6 цех result'!$C20,$AK174,"")</f>
        <v>Оборудование В-35 Тверская  дистанционным управлением или автоматикой включения.</v>
      </c>
      <c r="S174" s="20">
        <f>IF(S$2='[6]6 цех result'!$C20,'[6]6 цех_CapEx'!K20,0)</f>
        <v>0</v>
      </c>
      <c r="T174" s="20">
        <f>IF(S$2&gt;='[6]6 цех result'!$D20,'[6]6 цех_CapEx'!K20,0)</f>
        <v>0</v>
      </c>
      <c r="U174" s="20" t="str">
        <f>IF(S$2&gt;='[6]6 цех result'!$C20,$AK174,"")</f>
        <v>Оборудование В-35 Тверская  дистанционным управлением или автоматикой включения.</v>
      </c>
      <c r="V174" s="20">
        <f>IF(V$2='[6]6 цех result'!$C20,'[6]6 цех_CapEx'!L20,0)</f>
        <v>0</v>
      </c>
      <c r="W174" s="20">
        <f>IF(V$2&gt;='[6]6 цех result'!$D20,'[6]6 цех_CapEx'!L20,0)</f>
        <v>0</v>
      </c>
      <c r="X174" s="20" t="str">
        <f>IF(V$2&gt;='[6]6 цех result'!$C20,$AK174,"")</f>
        <v>Оборудование В-35 Тверская  дистанционным управлением или автоматикой включения.</v>
      </c>
      <c r="Y174" s="20">
        <f>IF(Y$2='[6]6 цех result'!$C20,'[6]6 цех_CapEx'!M20,0)</f>
        <v>0</v>
      </c>
      <c r="Z174" s="20">
        <f>IF(Y$2&gt;='[6]6 цех result'!$D20,'[6]6 цех_CapEx'!M20,0)</f>
        <v>0</v>
      </c>
      <c r="AA174" s="20" t="str">
        <f>IF(Y$2&gt;='[6]6 цех result'!$C20,$AK174,"")</f>
        <v>Оборудование В-35 Тверская  дистанционным управлением или автоматикой включения.</v>
      </c>
      <c r="AB174" s="20">
        <f>IF(AB$2='[6]6 цех result'!$C20,'[6]6 цех_CapEx'!N20,0)</f>
        <v>0</v>
      </c>
      <c r="AC174" s="20">
        <f>IF(AB$2&gt;='[6]6 цех result'!$D20,'[6]6 цех_CapEx'!N20,0)</f>
        <v>0</v>
      </c>
      <c r="AD174" s="20" t="str">
        <f>IF(AB$2&gt;='[6]6 цех result'!$C20,$AK174,"")</f>
        <v>Оборудование В-35 Тверская  дистанционным управлением или автоматикой включения.</v>
      </c>
      <c r="AE174" s="20">
        <f>IF(AE$2='[6]6 цех result'!$C20,'[6]6 цех_CapEx'!O20,0)</f>
        <v>0</v>
      </c>
      <c r="AF174" s="20">
        <f>IF(AE$2&gt;='[6]6 цех result'!$D20,'[6]6 цех_CapEx'!O20,0)</f>
        <v>0</v>
      </c>
      <c r="AG174" s="20" t="str">
        <f>IF(AE$2&gt;='[6]6 цех result'!$C20,$AK174,"")</f>
        <v>Оборудование В-35 Тверская  дистанционным управлением или автоматикой включения.</v>
      </c>
      <c r="AH174" s="20">
        <f>IF(AH$2='[6]6 цех result'!$C20,'[6]6 цех_CapEx'!P20,0)</f>
        <v>0</v>
      </c>
      <c r="AI174" s="20">
        <f>IF(AH$2&gt;='[6]6 цех result'!$D20,'[6]6 цех_CapEx'!P20,0)</f>
        <v>0</v>
      </c>
      <c r="AJ174" s="20" t="str">
        <f>IF(AH$2&gt;='[6]6 цех result'!$C20,$AK174,"")</f>
        <v>Оборудование В-35 Тверская  дистанционным управлением или автоматикой включения.</v>
      </c>
      <c r="AK174" s="12" t="s">
        <v>165</v>
      </c>
      <c r="AL174" s="19"/>
      <c r="AM174" s="71">
        <f t="shared" si="15"/>
        <v>2573.0697867160002</v>
      </c>
      <c r="AN174" s="71">
        <f>'[6]6 цех_CapEx'!$V20</f>
        <v>2573.0697867160002</v>
      </c>
      <c r="AO174" s="71">
        <f t="shared" si="16"/>
        <v>0</v>
      </c>
      <c r="AP174" s="54" t="s">
        <v>276</v>
      </c>
      <c r="AQ174" s="81" t="s">
        <v>269</v>
      </c>
    </row>
    <row r="175" spans="1:43" ht="60">
      <c r="A175" s="78">
        <v>143</v>
      </c>
      <c r="B175" s="19" t="str">
        <f>'[6]6 цех_CapEx'!$B21</f>
        <v>ПС 35/6кВ 1х4000кВА "Медведевская"</v>
      </c>
      <c r="C175" s="32">
        <f>'[6]6 цех_CapEx'!$W21</f>
        <v>1</v>
      </c>
      <c r="D175" s="20">
        <f>IF(D$2='[6]6 цех result'!$C21,'[6]6 цех_CapEx'!F21,0)</f>
        <v>0</v>
      </c>
      <c r="E175" s="20">
        <f>IF(D$2&gt;='[6]6 цех result'!$D21,'[6]6 цех_CapEx'!F21,0)</f>
        <v>0</v>
      </c>
      <c r="F175" s="20" t="str">
        <f>IF(D$2&gt;='[6]6 цех result'!$C21,$AK175,"")</f>
        <v/>
      </c>
      <c r="G175" s="20">
        <f>IF(G$2='[6]6 цех result'!$C21,'[6]6 цех_CapEx'!G21,0)</f>
        <v>0</v>
      </c>
      <c r="H175" s="20">
        <f>IF(G$2&gt;='[6]6 цех result'!$D21,'[6]6 цех_CapEx'!G21,0)</f>
        <v>0</v>
      </c>
      <c r="I175" s="20" t="str">
        <f>IF(G$2&gt;='[6]6 цех result'!$C21,$AK175,"")</f>
        <v/>
      </c>
      <c r="J175" s="20">
        <f>IF(J$2='[6]6 цех result'!$C21,'[6]6 цех_CapEx'!H21,0)</f>
        <v>0</v>
      </c>
      <c r="K175" s="20">
        <f>IF(J$2&gt;='[6]6 цех result'!$D21,'[6]6 цех_CapEx'!H21,0)</f>
        <v>0</v>
      </c>
      <c r="L175" s="20" t="str">
        <f>IF(J$2&gt;='[6]6 цех result'!$C21,$AK175,"")</f>
        <v/>
      </c>
      <c r="M175" s="20">
        <f>IF(M$2='[6]6 цех result'!$C21,'[6]6 цех_CapEx'!I21,0)</f>
        <v>0</v>
      </c>
      <c r="N175" s="20">
        <f>IF(M$2&gt;='[6]6 цех result'!$D21,'[6]6 цех_CapEx'!I21,0)</f>
        <v>0</v>
      </c>
      <c r="O175" s="20" t="str">
        <f>IF(M$2&gt;='[6]6 цех result'!$C21,$AK175,"")</f>
        <v/>
      </c>
      <c r="P175" s="20">
        <f>IF(P$2='[6]6 цех result'!$C21,'[6]6 цех_CapEx'!J21,0)</f>
        <v>0</v>
      </c>
      <c r="Q175" s="20">
        <f>IF(P$2&gt;='[6]6 цех result'!$D21,'[6]6 цех_CapEx'!J21,0)</f>
        <v>0</v>
      </c>
      <c r="R175" s="20" t="str">
        <f>IF(P$2&gt;='[6]6 цех result'!$C21,$AK175,"")</f>
        <v/>
      </c>
      <c r="S175" s="20">
        <f>IF(S$2='[6]6 цех result'!$C21,'[6]6 цех_CapEx'!K21,0)</f>
        <v>0</v>
      </c>
      <c r="T175" s="20">
        <f>IF(S$2&gt;='[6]6 цех result'!$D21,'[6]6 цех_CapEx'!K21,0)</f>
        <v>0</v>
      </c>
      <c r="U175" s="20" t="str">
        <f>IF(S$2&gt;='[6]6 цех result'!$C21,$AK175,"")</f>
        <v/>
      </c>
      <c r="V175" s="20">
        <f>IF(V$2='[6]6 цех result'!$C21,'[6]6 цех_CapEx'!L21,0)</f>
        <v>0</v>
      </c>
      <c r="W175" s="20">
        <f>IF(V$2&gt;='[6]6 цех result'!$D21,'[6]6 цех_CapEx'!L21,0)</f>
        <v>0</v>
      </c>
      <c r="X175" s="20" t="str">
        <f>IF(V$2&gt;='[6]6 цех result'!$C21,$AK175,"")</f>
        <v/>
      </c>
      <c r="Y175" s="20">
        <f>IF(Y$2='[6]6 цех result'!$C21,'[6]6 цех_CapEx'!M21,0)</f>
        <v>0</v>
      </c>
      <c r="Z175" s="20">
        <f>IF(Y$2&gt;='[6]6 цех result'!$D21,'[6]6 цех_CapEx'!M21,0)</f>
        <v>0</v>
      </c>
      <c r="AA175" s="20" t="str">
        <f>IF(Y$2&gt;='[6]6 цех result'!$C21,$AK175,"")</f>
        <v/>
      </c>
      <c r="AB175" s="20">
        <f>IF(AB$2='[6]6 цех result'!$C21,'[6]6 цех_CapEx'!N21,0)</f>
        <v>0</v>
      </c>
      <c r="AC175" s="20">
        <f>IF(AB$2&gt;='[6]6 цех result'!$D21,'[6]6 цех_CapEx'!N21,0)</f>
        <v>0</v>
      </c>
      <c r="AD175" s="20" t="str">
        <f>IF(AB$2&gt;='[6]6 цех result'!$C21,$AK175,"")</f>
        <v/>
      </c>
      <c r="AE175" s="20">
        <f>IF(AE$2='[6]6 цех result'!$C21,'[6]6 цех_CapEx'!O21,0)</f>
        <v>16028.307669487294</v>
      </c>
      <c r="AF175" s="20">
        <f>IF(AE$2&gt;='[6]6 цех result'!$D21,'[6]6 цех_CapEx'!O21,0)</f>
        <v>0</v>
      </c>
      <c r="AG175" s="20" t="str">
        <f>IF(AE$2&gt;='[6]6 цех result'!$C21,$AK175,"")</f>
        <v>замена 2 компл РВС-35 на 2 компл ОПН-35, замена 4 компл РВП-10 на ОПНп-10</v>
      </c>
      <c r="AH175" s="20">
        <f>IF(AH$2='[6]6 цех result'!$C21,'[6]6 цех_CapEx'!P21,0)</f>
        <v>0</v>
      </c>
      <c r="AI175" s="20">
        <f>IF(AH$2&gt;='[6]6 цех result'!$D21,'[6]6 цех_CapEx'!P21,0)</f>
        <v>537942.06200333266</v>
      </c>
      <c r="AJ175" s="20" t="str">
        <f>IF(AH$2&gt;='[6]6 цех result'!$C21,$AK175,"")</f>
        <v>замена 2 компл РВС-35 на 2 компл ОПН-35, замена 4 компл РВП-10 на ОПНп-10</v>
      </c>
      <c r="AK175" s="13" t="s">
        <v>167</v>
      </c>
      <c r="AL175" s="19"/>
      <c r="AM175" s="71">
        <f t="shared" si="15"/>
        <v>553970.36967281997</v>
      </c>
      <c r="AN175" s="71">
        <f>'[6]6 цех_CapEx'!$V21</f>
        <v>553970.36967281997</v>
      </c>
      <c r="AO175" s="71">
        <f t="shared" si="16"/>
        <v>0</v>
      </c>
      <c r="AP175" s="54" t="s">
        <v>198</v>
      </c>
      <c r="AQ175" s="81" t="s">
        <v>269</v>
      </c>
    </row>
    <row r="176" spans="1:43" ht="60">
      <c r="A176" s="78">
        <v>144</v>
      </c>
      <c r="B176" s="19" t="str">
        <f>'[6]6 цех_CapEx'!$B22</f>
        <v>ПС 35/6кВ 2500кВА "Хомяковская"</v>
      </c>
      <c r="C176" s="32">
        <f>'[6]6 цех_CapEx'!$W22</f>
        <v>1</v>
      </c>
      <c r="D176" s="20">
        <f>IF(D$2='[6]6 цех result'!$C22,'[6]6 цех_CapEx'!F22,0)</f>
        <v>0</v>
      </c>
      <c r="E176" s="20">
        <f>IF(D$2&gt;='[6]6 цех result'!$D22,'[6]6 цех_CapEx'!F22,0)</f>
        <v>0</v>
      </c>
      <c r="F176" s="20" t="str">
        <f>IF(D$2&gt;='[6]6 цех result'!$C22,$AK176,"")</f>
        <v/>
      </c>
      <c r="G176" s="20">
        <f>IF(G$2='[6]6 цех result'!$C22,'[6]6 цех_CapEx'!G22,0)</f>
        <v>0</v>
      </c>
      <c r="H176" s="20">
        <f>IF(G$2&gt;='[6]6 цех result'!$D22,'[6]6 цех_CapEx'!G22,0)</f>
        <v>0</v>
      </c>
      <c r="I176" s="20" t="str">
        <f>IF(G$2&gt;='[6]6 цех result'!$C22,$AK176,"")</f>
        <v/>
      </c>
      <c r="J176" s="20">
        <f>IF(J$2='[6]6 цех result'!$C22,'[6]6 цех_CapEx'!H22,0)</f>
        <v>0</v>
      </c>
      <c r="K176" s="20">
        <f>IF(J$2&gt;='[6]6 цех result'!$D22,'[6]6 цех_CapEx'!H22,0)</f>
        <v>0</v>
      </c>
      <c r="L176" s="20" t="str">
        <f>IF(J$2&gt;='[6]6 цех result'!$C22,$AK176,"")</f>
        <v/>
      </c>
      <c r="M176" s="20">
        <f>IF(M$2='[6]6 цех result'!$C22,'[6]6 цех_CapEx'!I22,0)</f>
        <v>0</v>
      </c>
      <c r="N176" s="20">
        <f>IF(M$2&gt;='[6]6 цех result'!$D22,'[6]6 цех_CapEx'!I22,0)</f>
        <v>0</v>
      </c>
      <c r="O176" s="20" t="str">
        <f>IF(M$2&gt;='[6]6 цех result'!$C22,$AK176,"")</f>
        <v/>
      </c>
      <c r="P176" s="20">
        <f>IF(P$2='[6]6 цех result'!$C22,'[6]6 цех_CapEx'!J22,0)</f>
        <v>0</v>
      </c>
      <c r="Q176" s="20">
        <f>IF(P$2&gt;='[6]6 цех result'!$D22,'[6]6 цех_CapEx'!J22,0)</f>
        <v>0</v>
      </c>
      <c r="R176" s="20" t="str">
        <f>IF(P$2&gt;='[6]6 цех result'!$C22,$AK176,"")</f>
        <v/>
      </c>
      <c r="S176" s="20">
        <f>IF(S$2='[6]6 цех result'!$C22,'[6]6 цех_CapEx'!K22,0)</f>
        <v>0</v>
      </c>
      <c r="T176" s="20">
        <f>IF(S$2&gt;='[6]6 цех result'!$D22,'[6]6 цех_CapEx'!K22,0)</f>
        <v>0</v>
      </c>
      <c r="U176" s="20" t="str">
        <f>IF(S$2&gt;='[6]6 цех result'!$C22,$AK176,"")</f>
        <v/>
      </c>
      <c r="V176" s="20">
        <f>IF(V$2='[6]6 цех result'!$C22,'[6]6 цех_CapEx'!L22,0)</f>
        <v>0</v>
      </c>
      <c r="W176" s="20">
        <f>IF(V$2&gt;='[6]6 цех result'!$D22,'[6]6 цех_CapEx'!L22,0)</f>
        <v>0</v>
      </c>
      <c r="X176" s="20" t="str">
        <f>IF(V$2&gt;='[6]6 цех result'!$C22,$AK176,"")</f>
        <v/>
      </c>
      <c r="Y176" s="20">
        <f>IF(Y$2='[6]6 цех result'!$C22,'[6]6 цех_CapEx'!M22,0)</f>
        <v>0</v>
      </c>
      <c r="Z176" s="20">
        <f>IF(Y$2&gt;='[6]6 цех result'!$D22,'[6]6 цех_CapEx'!M22,0)</f>
        <v>0</v>
      </c>
      <c r="AA176" s="20" t="str">
        <f>IF(Y$2&gt;='[6]6 цех result'!$C22,$AK176,"")</f>
        <v/>
      </c>
      <c r="AB176" s="20">
        <f>IF(AB$2='[6]6 цех result'!$C22,'[6]6 цех_CapEx'!N22,0)</f>
        <v>0</v>
      </c>
      <c r="AC176" s="20">
        <f>IF(AB$2&gt;='[6]6 цех result'!$D22,'[6]6 цех_CapEx'!N22,0)</f>
        <v>0</v>
      </c>
      <c r="AD176" s="20" t="str">
        <f>IF(AB$2&gt;='[6]6 цех result'!$C22,$AK176,"")</f>
        <v/>
      </c>
      <c r="AE176" s="20">
        <f>IF(AE$2='[6]6 цех result'!$C22,'[6]6 цех_CapEx'!O22,0)</f>
        <v>16028.307669487294</v>
      </c>
      <c r="AF176" s="20">
        <f>IF(AE$2&gt;='[6]6 цех result'!$D22,'[6]6 цех_CapEx'!O22,0)</f>
        <v>0</v>
      </c>
      <c r="AG176" s="20" t="str">
        <f>IF(AE$2&gt;='[6]6 цех result'!$C22,$AK176,"")</f>
        <v>замена 2 компл РВС-35 на 2 компл ОПН-35, замена 4 компл РВП-10 на ОПНп-10</v>
      </c>
      <c r="AH176" s="20">
        <f>IF(AH$2='[6]6 цех result'!$C22,'[6]6 цех_CapEx'!P22,0)</f>
        <v>0</v>
      </c>
      <c r="AI176" s="20">
        <f>IF(AH$2&gt;='[6]6 цех result'!$D22,'[6]6 цех_CapEx'!P22,0)</f>
        <v>537942.06200333266</v>
      </c>
      <c r="AJ176" s="20" t="str">
        <f>IF(AH$2&gt;='[6]6 цех result'!$C22,$AK176,"")</f>
        <v>замена 2 компл РВС-35 на 2 компл ОПН-35, замена 4 компл РВП-10 на ОПНп-10</v>
      </c>
      <c r="AK176" s="13" t="s">
        <v>167</v>
      </c>
      <c r="AL176" s="19"/>
      <c r="AM176" s="71">
        <f t="shared" si="15"/>
        <v>553970.36967281997</v>
      </c>
      <c r="AN176" s="71">
        <f>'[6]6 цех_CapEx'!$V22</f>
        <v>553970.36967281997</v>
      </c>
      <c r="AO176" s="71">
        <f t="shared" si="16"/>
        <v>0</v>
      </c>
      <c r="AP176" s="54" t="s">
        <v>198</v>
      </c>
      <c r="AQ176" s="81" t="s">
        <v>269</v>
      </c>
    </row>
    <row r="177" spans="1:43" ht="60">
      <c r="A177" s="78">
        <v>145</v>
      </c>
      <c r="B177" s="19" t="str">
        <f>'[6]6 цех_CapEx'!$B24</f>
        <v>ПС 35/10кВ 2х4000кВА "Маланинская"</v>
      </c>
      <c r="C177" s="32">
        <f>'[6]6 цех_CapEx'!$W24</f>
        <v>1</v>
      </c>
      <c r="D177" s="20">
        <f>IF(D$2='[6]6 цех result'!$C24,'[6]6 цех_CapEx'!F24,0)</f>
        <v>0</v>
      </c>
      <c r="E177" s="20">
        <f>IF(D$2&gt;='[6]6 цех result'!$D24,'[6]6 цех_CapEx'!F24,0)</f>
        <v>0</v>
      </c>
      <c r="F177" s="20" t="str">
        <f>IF(D$2&gt;='[6]6 цех result'!$C24,$AK177,"")</f>
        <v/>
      </c>
      <c r="G177" s="20">
        <f>IF(G$2='[6]6 цех result'!$C24,'[6]6 цех_CapEx'!G24,0)</f>
        <v>0</v>
      </c>
      <c r="H177" s="20">
        <f>IF(G$2&gt;='[6]6 цех result'!$D24,'[6]6 цех_CapEx'!G24,0)</f>
        <v>0</v>
      </c>
      <c r="I177" s="20" t="str">
        <f>IF(G$2&gt;='[6]6 цех result'!$C24,$AK177,"")</f>
        <v/>
      </c>
      <c r="J177" s="20">
        <f>IF(J$2='[6]6 цех result'!$C24,'[6]6 цех_CapEx'!H24,0)</f>
        <v>0</v>
      </c>
      <c r="K177" s="20">
        <f>IF(J$2&gt;='[6]6 цех result'!$D24,'[6]6 цех_CapEx'!H24,0)</f>
        <v>0</v>
      </c>
      <c r="L177" s="20" t="str">
        <f>IF(J$2&gt;='[6]6 цех result'!$C24,$AK177,"")</f>
        <v/>
      </c>
      <c r="M177" s="20">
        <f>IF(M$2='[6]6 цех result'!$C24,'[6]6 цех_CapEx'!I24,0)</f>
        <v>0</v>
      </c>
      <c r="N177" s="20">
        <f>IF(M$2&gt;='[6]6 цех result'!$D24,'[6]6 цех_CapEx'!I24,0)</f>
        <v>0</v>
      </c>
      <c r="O177" s="20" t="str">
        <f>IF(M$2&gt;='[6]6 цех result'!$C24,$AK177,"")</f>
        <v/>
      </c>
      <c r="P177" s="20">
        <f>IF(P$2='[6]6 цех result'!$C24,'[6]6 цех_CapEx'!J24,0)</f>
        <v>0</v>
      </c>
      <c r="Q177" s="20">
        <f>IF(P$2&gt;='[6]6 цех result'!$D24,'[6]6 цех_CapEx'!J24,0)</f>
        <v>0</v>
      </c>
      <c r="R177" s="20" t="str">
        <f>IF(P$2&gt;='[6]6 цех result'!$C24,$AK177,"")</f>
        <v/>
      </c>
      <c r="S177" s="20">
        <f>IF(S$2='[6]6 цех result'!$C24,'[6]6 цех_CapEx'!K24,0)</f>
        <v>0</v>
      </c>
      <c r="T177" s="20">
        <f>IF(S$2&gt;='[6]6 цех result'!$D24,'[6]6 цех_CapEx'!K24,0)</f>
        <v>0</v>
      </c>
      <c r="U177" s="20" t="str">
        <f>IF(S$2&gt;='[6]6 цех result'!$C24,$AK177,"")</f>
        <v/>
      </c>
      <c r="V177" s="20">
        <f>IF(V$2='[6]6 цех result'!$C24,'[6]6 цех_CapEx'!L24,0)</f>
        <v>0</v>
      </c>
      <c r="W177" s="20">
        <f>IF(V$2&gt;='[6]6 цех result'!$D24,'[6]6 цех_CapEx'!L24,0)</f>
        <v>0</v>
      </c>
      <c r="X177" s="20" t="str">
        <f>IF(V$2&gt;='[6]6 цех result'!$C24,$AK177,"")</f>
        <v/>
      </c>
      <c r="Y177" s="20">
        <f>IF(Y$2='[6]6 цех result'!$C24,'[6]6 цех_CapEx'!M24,0)</f>
        <v>0</v>
      </c>
      <c r="Z177" s="20">
        <f>IF(Y$2&gt;='[6]6 цех result'!$D24,'[6]6 цех_CapEx'!M24,0)</f>
        <v>0</v>
      </c>
      <c r="AA177" s="20" t="str">
        <f>IF(Y$2&gt;='[6]6 цех result'!$C24,$AK177,"")</f>
        <v/>
      </c>
      <c r="AB177" s="20">
        <f>IF(AB$2='[6]6 цех result'!$C24,'[6]6 цех_CapEx'!N24,0)</f>
        <v>0</v>
      </c>
      <c r="AC177" s="20">
        <f>IF(AB$2&gt;='[6]6 цех result'!$D24,'[6]6 цех_CapEx'!N24,0)</f>
        <v>0</v>
      </c>
      <c r="AD177" s="20" t="str">
        <f>IF(AB$2&gt;='[6]6 цех result'!$C24,$AK177,"")</f>
        <v/>
      </c>
      <c r="AE177" s="20">
        <f>IF(AE$2='[6]6 цех result'!$C24,'[6]6 цех_CapEx'!O24,0)</f>
        <v>16028.307669487294</v>
      </c>
      <c r="AF177" s="20">
        <f>IF(AE$2&gt;='[6]6 цех result'!$D24,'[6]6 цех_CapEx'!O24,0)</f>
        <v>0</v>
      </c>
      <c r="AG177" s="20" t="str">
        <f>IF(AE$2&gt;='[6]6 цех result'!$C24,$AK177,"")</f>
        <v>замена 2 компл РВС-35 на 2 компл ОПН-35, замена 4 компл РВП-10 на ОПНп-10</v>
      </c>
      <c r="AH177" s="20">
        <f>IF(AH$2='[6]6 цех result'!$C24,'[6]6 цех_CapEx'!P24,0)</f>
        <v>0</v>
      </c>
      <c r="AI177" s="20">
        <f>IF(AH$2&gt;='[6]6 цех result'!$D24,'[6]6 цех_CapEx'!P24,0)</f>
        <v>537942.06200333266</v>
      </c>
      <c r="AJ177" s="20" t="str">
        <f>IF(AH$2&gt;='[6]6 цех result'!$C24,$AK177,"")</f>
        <v>замена 2 компл РВС-35 на 2 компл ОПН-35, замена 4 компл РВП-10 на ОПНп-10</v>
      </c>
      <c r="AK177" s="12" t="s">
        <v>167</v>
      </c>
      <c r="AL177" s="19"/>
      <c r="AM177" s="71">
        <f t="shared" si="15"/>
        <v>553970.36967281997</v>
      </c>
      <c r="AN177" s="71">
        <f>'[6]6 цех_CapEx'!$V24</f>
        <v>553970.36967281997</v>
      </c>
      <c r="AO177" s="71">
        <f t="shared" si="16"/>
        <v>0</v>
      </c>
      <c r="AP177" s="54" t="s">
        <v>198</v>
      </c>
      <c r="AQ177" s="81" t="s">
        <v>269</v>
      </c>
    </row>
    <row r="178" spans="1:43" ht="105.75" thickBot="1">
      <c r="A178" s="82">
        <v>146</v>
      </c>
      <c r="B178" s="83" t="str">
        <f>'[6]6 цех_CapEx'!$B25</f>
        <v>ПС 35/6кВ 2х4000кВА "Кудиновская"</v>
      </c>
      <c r="C178" s="84">
        <f>'[6]6 цех_CapEx'!$W25</f>
        <v>1</v>
      </c>
      <c r="D178" s="85">
        <f>IF(D$2='[6]6 цех result'!$C25,'[6]6 цех_CapEx'!F25,0)</f>
        <v>0</v>
      </c>
      <c r="E178" s="85">
        <f>IF(D$2&gt;='[6]6 цех result'!$D25,'[6]6 цех_CapEx'!F25,0)</f>
        <v>0</v>
      </c>
      <c r="F178" s="85" t="str">
        <f>IF(D$2&gt;='[6]6 цех result'!$C25,$AK178,"")</f>
        <v/>
      </c>
      <c r="G178" s="85">
        <f>IF(G$2='[6]6 цех result'!$C25,'[6]6 цех_CapEx'!G25,0)</f>
        <v>0</v>
      </c>
      <c r="H178" s="85">
        <f>IF(G$2&gt;='[6]6 цех result'!$D25,'[6]6 цех_CapEx'!G25,0)</f>
        <v>0</v>
      </c>
      <c r="I178" s="85" t="str">
        <f>IF(G$2&gt;='[6]6 цех result'!$C25,$AK178,"")</f>
        <v/>
      </c>
      <c r="J178" s="85">
        <f>IF(J$2='[6]6 цех result'!$C25,'[6]6 цех_CapEx'!H25,0)</f>
        <v>0</v>
      </c>
      <c r="K178" s="85">
        <f>IF(J$2&gt;='[6]6 цех result'!$D25,'[6]6 цех_CapEx'!H25,0)</f>
        <v>0</v>
      </c>
      <c r="L178" s="85" t="str">
        <f>IF(J$2&gt;='[6]6 цех result'!$C25,$AK178,"")</f>
        <v/>
      </c>
      <c r="M178" s="85">
        <f>IF(M$2='[6]6 цех result'!$C25,'[6]6 цех_CapEx'!I25,0)</f>
        <v>15403.546627398586</v>
      </c>
      <c r="N178" s="85">
        <f>IF(M$2&gt;='[6]6 цех result'!$D25,'[6]6 цех_CapEx'!I25,0)</f>
        <v>0</v>
      </c>
      <c r="O178" s="85" t="str">
        <f>IF(M$2&gt;='[6]6 цех result'!$C25,$AK178,"")</f>
        <v xml:space="preserve">                                                                             Замена ВВ-35 кВ - 1000 А  - 4 шт.
 Замена СВВ-35 кВ - 1000 А - 1шт.
Замена КРУН-6 кВ - 18 яч.</v>
      </c>
      <c r="P178" s="85">
        <f>IF(P$2='[6]6 цех result'!$C25,'[6]6 цех_CapEx'!J25,0)</f>
        <v>0</v>
      </c>
      <c r="Q178" s="85">
        <f>IF(P$2&gt;='[6]6 цех result'!$D25,'[6]6 цех_CapEx'!J25,0)</f>
        <v>0</v>
      </c>
      <c r="R178" s="85" t="str">
        <f>IF(P$2&gt;='[6]6 цех result'!$C25,$AK178,"")</f>
        <v xml:space="preserve">                                                                             Замена ВВ-35 кВ - 1000 А  - 4 шт.
 Замена СВВ-35 кВ - 1000 А - 1шт.
Замена КРУН-6 кВ - 18 яч.</v>
      </c>
      <c r="S178" s="85">
        <f>IF(S$2='[6]6 цех result'!$C25,'[6]6 цех_CapEx'!K25,0)</f>
        <v>0</v>
      </c>
      <c r="T178" s="85">
        <f>IF(S$2&gt;='[6]6 цех result'!$D25,'[6]6 цех_CapEx'!K25,0)</f>
        <v>558017.96821665124</v>
      </c>
      <c r="U178" s="85" t="str">
        <f>IF(S$2&gt;='[6]6 цех result'!$C25,$AK178,"")</f>
        <v xml:space="preserve">                                                                             Замена ВВ-35 кВ - 1000 А  - 4 шт.
 Замена СВВ-35 кВ - 1000 А - 1шт.
Замена КРУН-6 кВ - 18 яч.</v>
      </c>
      <c r="V178" s="85">
        <f>IF(V$2='[6]6 цех result'!$C25,'[6]6 цех_CapEx'!L25,0)</f>
        <v>0</v>
      </c>
      <c r="W178" s="85">
        <f>IF(V$2&gt;='[6]6 цех result'!$D25,'[6]6 цех_CapEx'!L25,0)</f>
        <v>0</v>
      </c>
      <c r="X178" s="85" t="str">
        <f>IF(V$2&gt;='[6]6 цех result'!$C25,$AK178,"")</f>
        <v xml:space="preserve">                                                                             Замена ВВ-35 кВ - 1000 А  - 4 шт.
 Замена СВВ-35 кВ - 1000 А - 1шт.
Замена КРУН-6 кВ - 18 яч.</v>
      </c>
      <c r="Y178" s="85">
        <f>IF(Y$2='[6]6 цех result'!$C25,'[6]6 цех_CapEx'!M25,0)</f>
        <v>0</v>
      </c>
      <c r="Z178" s="85">
        <f>IF(Y$2&gt;='[6]6 цех result'!$D25,'[6]6 цех_CapEx'!M25,0)</f>
        <v>0</v>
      </c>
      <c r="AA178" s="85" t="str">
        <f>IF(Y$2&gt;='[6]6 цех result'!$C25,$AK178,"")</f>
        <v xml:space="preserve">                                                                             Замена ВВ-35 кВ - 1000 А  - 4 шт.
 Замена СВВ-35 кВ - 1000 А - 1шт.
Замена КРУН-6 кВ - 18 яч.</v>
      </c>
      <c r="AB178" s="85">
        <f>IF(AB$2='[6]6 цех result'!$C25,'[6]6 цех_CapEx'!N25,0)</f>
        <v>0</v>
      </c>
      <c r="AC178" s="85">
        <f>IF(AB$2&gt;='[6]6 цех result'!$D25,'[6]6 цех_CapEx'!N25,0)</f>
        <v>0</v>
      </c>
      <c r="AD178" s="85" t="str">
        <f>IF(AB$2&gt;='[6]6 цех result'!$C25,$AK178,"")</f>
        <v xml:space="preserve">                                                                             Замена ВВ-35 кВ - 1000 А  - 4 шт.
 Замена СВВ-35 кВ - 1000 А - 1шт.
Замена КРУН-6 кВ - 18 яч.</v>
      </c>
      <c r="AE178" s="85">
        <f>IF(AE$2='[6]6 цех result'!$C25,'[6]6 цех_CapEx'!O25,0)</f>
        <v>0</v>
      </c>
      <c r="AF178" s="85">
        <f>IF(AE$2&gt;='[6]6 цех result'!$D25,'[6]6 цех_CapEx'!O25,0)</f>
        <v>0</v>
      </c>
      <c r="AG178" s="85" t="str">
        <f>IF(AE$2&gt;='[6]6 цех result'!$C25,$AK178,"")</f>
        <v xml:space="preserve">                                                                             Замена ВВ-35 кВ - 1000 А  - 4 шт.
 Замена СВВ-35 кВ - 1000 А - 1шт.
Замена КРУН-6 кВ - 18 яч.</v>
      </c>
      <c r="AH178" s="85">
        <f>IF(AH$2='[6]6 цех result'!$C25,'[6]6 цех_CapEx'!P25,0)</f>
        <v>0</v>
      </c>
      <c r="AI178" s="85">
        <f>IF(AH$2&gt;='[6]6 цех result'!$D25,'[6]6 цех_CapEx'!P25,0)</f>
        <v>0</v>
      </c>
      <c r="AJ178" s="85" t="str">
        <f>IF(AH$2&gt;='[6]6 цех result'!$C25,$AK178,"")</f>
        <v xml:space="preserve">                                                                             Замена ВВ-35 кВ - 1000 А  - 4 шт.
 Замена СВВ-35 кВ - 1000 А - 1шт.
Замена КРУН-6 кВ - 18 яч.</v>
      </c>
      <c r="AK178" s="86" t="s">
        <v>166</v>
      </c>
      <c r="AL178" s="83"/>
      <c r="AM178" s="87">
        <f t="shared" si="15"/>
        <v>573421.51484404982</v>
      </c>
      <c r="AN178" s="87">
        <f>'[6]6 цех_CapEx'!$V25</f>
        <v>573421.51484404982</v>
      </c>
      <c r="AO178" s="87">
        <f t="shared" si="16"/>
        <v>0</v>
      </c>
      <c r="AP178" s="88" t="s">
        <v>277</v>
      </c>
      <c r="AQ178" s="89" t="s">
        <v>269</v>
      </c>
    </row>
    <row r="179" spans="1:43" s="25" customFormat="1" ht="14.25" hidden="1">
      <c r="A179" s="21"/>
      <c r="B179" s="25" t="s">
        <v>7</v>
      </c>
      <c r="C179" s="42"/>
      <c r="D179" s="43"/>
      <c r="E179" s="43"/>
      <c r="F179" s="43"/>
      <c r="G179" s="44"/>
      <c r="H179" s="43"/>
      <c r="I179" s="43"/>
      <c r="J179" s="44"/>
      <c r="K179" s="43"/>
      <c r="L179" s="43"/>
      <c r="M179" s="44"/>
      <c r="N179" s="43"/>
      <c r="O179" s="43"/>
      <c r="P179" s="44"/>
      <c r="Q179" s="43"/>
      <c r="R179" s="43"/>
      <c r="S179" s="44"/>
      <c r="T179" s="43"/>
      <c r="U179" s="43"/>
      <c r="V179" s="44"/>
      <c r="W179" s="43"/>
      <c r="X179" s="43"/>
      <c r="Y179" s="44"/>
      <c r="Z179" s="43"/>
      <c r="AA179" s="43"/>
      <c r="AB179" s="44"/>
      <c r="AC179" s="43"/>
      <c r="AD179" s="43"/>
      <c r="AE179" s="44"/>
      <c r="AF179" s="43"/>
      <c r="AG179" s="43"/>
      <c r="AH179" s="44"/>
      <c r="AI179" s="43"/>
      <c r="AJ179" s="43"/>
      <c r="AK179" s="45"/>
      <c r="AM179" s="26"/>
      <c r="AN179" s="26"/>
      <c r="AP179" s="64"/>
      <c r="AQ179" s="64"/>
    </row>
    <row r="180" spans="1:43" s="47" customFormat="1" hidden="1">
      <c r="A180" s="46"/>
      <c r="B180" s="47" t="s">
        <v>7</v>
      </c>
      <c r="C180" s="48"/>
      <c r="D180" s="289">
        <f>SUMIF($C4:$C179,1,D4:D179)+SUMIF($C4:$C179,1,E4:E179)</f>
        <v>26952.810486000002</v>
      </c>
      <c r="E180" s="289"/>
      <c r="F180" s="49"/>
      <c r="G180" s="289">
        <f>SUMIF($C4:$C179,1,G4:G179)+SUMIF($C4:$C179,1,H4:H179)</f>
        <v>315948.17177296168</v>
      </c>
      <c r="H180" s="289"/>
      <c r="I180" s="49"/>
      <c r="J180" s="289">
        <f>SUMIF($C4:$C179,1,J4:J179)+SUMIF($C4:$C179,1,K4:K179)</f>
        <v>302061.59926993068</v>
      </c>
      <c r="K180" s="289"/>
      <c r="L180" s="49"/>
      <c r="M180" s="289">
        <f>SUMIF($C4:$C179,1,M4:M179)+SUMIF($C4:$C179,1,N4:N179)</f>
        <v>1602018.7175213627</v>
      </c>
      <c r="N180" s="289"/>
      <c r="O180" s="49"/>
      <c r="P180" s="289">
        <f>SUMIF($C4:$C179,1,P4:P179)+SUMIF($C4:$C179,1,Q4:Q179)</f>
        <v>2249064.2460426176</v>
      </c>
      <c r="Q180" s="289"/>
      <c r="R180" s="49"/>
      <c r="S180" s="289">
        <f>SUMIF($C4:$C179,1,S4:S179)+SUMIF($C4:$C179,1,T4:T179)</f>
        <v>5424110.3137396537</v>
      </c>
      <c r="T180" s="289"/>
      <c r="U180" s="49"/>
      <c r="V180" s="289">
        <f>SUMIF($C4:$C179,1,V4:V179)+SUMIF($C4:$C179,1,W4:W179)</f>
        <v>3311738.9135316433</v>
      </c>
      <c r="W180" s="289"/>
      <c r="X180" s="49"/>
      <c r="Y180" s="289">
        <f>SUMIF($C4:$C179,1,Y4:Y179)+SUMIF($C4:$C179,1,Z4:Z179)</f>
        <v>1394481.4916887167</v>
      </c>
      <c r="Z180" s="289"/>
      <c r="AA180" s="49"/>
      <c r="AB180" s="289">
        <f>SUMIF($C4:$C179,1,AB4:AB179)+SUMIF($C4:$C179,1,AC4:AC179)</f>
        <v>400271.26723986364</v>
      </c>
      <c r="AC180" s="289"/>
      <c r="AD180" s="49"/>
      <c r="AE180" s="289">
        <f>SUMIF($C4:$C179,1,AE4:AE179)+SUMIF($C4:$C179,1,AF4:AF179)</f>
        <v>79514.338053586951</v>
      </c>
      <c r="AF180" s="289"/>
      <c r="AG180" s="49"/>
      <c r="AH180" s="289">
        <f>SUMIF($C4:$C179,1,AH4:AH179)+SUMIF($C4:$C179,1,AI4:AI179)</f>
        <v>2441010.4480282138</v>
      </c>
      <c r="AI180" s="289"/>
      <c r="AJ180" s="49"/>
      <c r="AK180" s="50"/>
      <c r="AM180" s="33">
        <f>SUM(D180:AJ180)</f>
        <v>17547172.31737455</v>
      </c>
      <c r="AN180" s="33">
        <f>'Свод по цехам_Инвестиции'!R8</f>
        <v>17945977.9000392</v>
      </c>
      <c r="AO180" s="33">
        <f>AM180-AN180</f>
        <v>-398805.58266464993</v>
      </c>
    </row>
    <row r="181" spans="1:43" hidden="1">
      <c r="B181" s="51" t="s">
        <v>22</v>
      </c>
      <c r="D181" s="293">
        <f>D180-'Свод по цехам_Инвестиции'!B8</f>
        <v>0</v>
      </c>
      <c r="E181" s="293"/>
      <c r="G181" s="293">
        <f>G180-'Свод по цехам_Инвестиции'!C8</f>
        <v>0</v>
      </c>
      <c r="H181" s="293"/>
      <c r="J181" s="293">
        <f>J180-'Свод по цехам_Инвестиции'!D8</f>
        <v>-199.49774392793188</v>
      </c>
      <c r="K181" s="293"/>
      <c r="M181" s="293">
        <f>M180-'Свод по цехам_Инвестиции'!E8</f>
        <v>-17675.058442926733</v>
      </c>
      <c r="N181" s="293"/>
      <c r="P181" s="293">
        <f>P180-'Свод по цехам_Инвестиции'!F8</f>
        <v>-23460.35728324065</v>
      </c>
      <c r="Q181" s="293"/>
      <c r="S181" s="293">
        <f>S180-'Свод по цехам_Инвестиции'!G8</f>
        <v>-357470.66919455118</v>
      </c>
      <c r="T181" s="293"/>
      <c r="V181" s="293">
        <f>V180-'Свод по цехам_Инвестиции'!H8</f>
        <v>0</v>
      </c>
      <c r="W181" s="293"/>
      <c r="Y181" s="293">
        <f>Y180-'Свод по цехам_Инвестиции'!I8</f>
        <v>0</v>
      </c>
      <c r="Z181" s="293"/>
      <c r="AB181" s="293">
        <f>AB180-'Свод по цехам_Инвестиции'!J8</f>
        <v>0</v>
      </c>
      <c r="AC181" s="293"/>
      <c r="AE181" s="293">
        <f>AE180-'Свод по цехам_Инвестиции'!K8</f>
        <v>0</v>
      </c>
      <c r="AF181" s="293"/>
      <c r="AH181" s="293">
        <f>AH180-'Свод по цехам_Инвестиции'!L8</f>
        <v>0</v>
      </c>
      <c r="AI181" s="293"/>
    </row>
  </sheetData>
  <mergeCells count="65">
    <mergeCell ref="AH181:AI181"/>
    <mergeCell ref="AE181:AF181"/>
    <mergeCell ref="D181:E181"/>
    <mergeCell ref="G181:H181"/>
    <mergeCell ref="J181:K181"/>
    <mergeCell ref="M181:N181"/>
    <mergeCell ref="P181:Q181"/>
    <mergeCell ref="S181:T181"/>
    <mergeCell ref="V181:W181"/>
    <mergeCell ref="Y181:Z181"/>
    <mergeCell ref="AB181:AC181"/>
    <mergeCell ref="AE180:AF180"/>
    <mergeCell ref="AH180:AI180"/>
    <mergeCell ref="AM2:AO3"/>
    <mergeCell ref="D180:E180"/>
    <mergeCell ref="G180:H180"/>
    <mergeCell ref="J180:K180"/>
    <mergeCell ref="M180:N180"/>
    <mergeCell ref="P180:Q180"/>
    <mergeCell ref="S180:T180"/>
    <mergeCell ref="V180:W180"/>
    <mergeCell ref="Y180:Z180"/>
    <mergeCell ref="AB180:AC180"/>
    <mergeCell ref="AK2:AK3"/>
    <mergeCell ref="S2:U2"/>
    <mergeCell ref="V2:X2"/>
    <mergeCell ref="Y2:AA2"/>
    <mergeCell ref="A2:A3"/>
    <mergeCell ref="AP2:AP3"/>
    <mergeCell ref="AQ2:AQ3"/>
    <mergeCell ref="AP6:AP8"/>
    <mergeCell ref="AQ6:AQ8"/>
    <mergeCell ref="AB2:AD2"/>
    <mergeCell ref="AE2:AG2"/>
    <mergeCell ref="AH2:AJ2"/>
    <mergeCell ref="P2:R2"/>
    <mergeCell ref="C2:C3"/>
    <mergeCell ref="D2:F2"/>
    <mergeCell ref="G2:I2"/>
    <mergeCell ref="J2:L2"/>
    <mergeCell ref="M2:O2"/>
    <mergeCell ref="AP9:AP10"/>
    <mergeCell ref="AQ9:AQ10"/>
    <mergeCell ref="AP19:AP20"/>
    <mergeCell ref="AQ19:AQ20"/>
    <mergeCell ref="AP11:AP12"/>
    <mergeCell ref="AQ11:AQ12"/>
    <mergeCell ref="AP55:AP57"/>
    <mergeCell ref="AQ55:AQ57"/>
    <mergeCell ref="AP76:AP77"/>
    <mergeCell ref="AQ76:AQ77"/>
    <mergeCell ref="AP23:AP24"/>
    <mergeCell ref="AQ23:AQ24"/>
    <mergeCell ref="AP29:AP31"/>
    <mergeCell ref="AQ29:AQ31"/>
    <mergeCell ref="AP51:AP52"/>
    <mergeCell ref="AQ51:AQ52"/>
    <mergeCell ref="AP166:AP167"/>
    <mergeCell ref="AQ166:AQ167"/>
    <mergeCell ref="AP112:AP113"/>
    <mergeCell ref="AQ112:AQ113"/>
    <mergeCell ref="AP114:AP115"/>
    <mergeCell ref="AQ114:AQ115"/>
    <mergeCell ref="AP119:AP120"/>
    <mergeCell ref="AQ119:AQ120"/>
  </mergeCells>
  <conditionalFormatting sqref="C162:C170 C172:C178 C122 C133 C124:C126 C128:C131 C136:C146 C148:C159 C119:C120 C112:C117 C108:C109 C105:C106 C103 C95:C99 C101 C92:C93 C81:C87 C89:C90 C75:C78 C68:C70 C72:C73 C50:C53 C55:C66 C38:C39 C41:C47 C33:C36 C6:C25 C27 C29:C31">
    <cfRule type="cellIs" dxfId="3" priority="22" stopIfTrue="1" operator="equal">
      <formula>0</formula>
    </cfRule>
  </conditionalFormatting>
  <conditionalFormatting sqref="AN160 AN134 AN110 AN79 AN48 AN4">
    <cfRule type="cellIs" dxfId="2" priority="19" stopIfTrue="1" operator="equal">
      <formula>"!!!"</formula>
    </cfRule>
  </conditionalFormatting>
  <conditionalFormatting sqref="D181:E181 G181:H181 J181:K181 M181:N181 P181:Q181 S181:T181 V181:W181 Y181:Z181 AB181:AC181 AE181:AF181 AH181:AI181 AO172:AO1048576 AO122 AO124:AO131 AO133:AO146 AO148:AO170 AO119:AO120 AO108:AO117 AO105:AO106 AO103 AO95:AO99 AO101 AO92:AO93 AO89:AO90 AO75:AO87 AO68:AO70 AO72:AO73 AO55:AO66 AO2:AO3 AO5:AO53">
    <cfRule type="cellIs" dxfId="1" priority="18" operator="notEqual">
      <formula>0</formula>
    </cfRule>
  </conditionalFormatting>
  <conditionalFormatting sqref="F127">
    <cfRule type="containsText" dxfId="0" priority="8" operator="containsText" text="!!!">
      <formula>NOT(ISERROR(SEARCH("!!!",F127)))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T2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/>
  <cols>
    <col min="1" max="1" width="12.28515625" style="1" bestFit="1" customWidth="1"/>
    <col min="2" max="6" width="12.7109375" style="1" bestFit="1" customWidth="1"/>
    <col min="7" max="12" width="13.85546875" style="1" bestFit="1" customWidth="1"/>
    <col min="13" max="17" width="9.140625" style="1"/>
    <col min="18" max="18" width="14" style="1" customWidth="1"/>
    <col min="19" max="19" width="13.85546875" style="1" customWidth="1"/>
    <col min="20" max="20" width="11.7109375" style="1" bestFit="1" customWidth="1"/>
    <col min="21" max="16384" width="9.140625" style="1"/>
  </cols>
  <sheetData>
    <row r="1" spans="1:20">
      <c r="B1" s="3">
        <v>2015</v>
      </c>
      <c r="C1" s="3">
        <v>2016</v>
      </c>
      <c r="D1" s="3">
        <v>2017</v>
      </c>
      <c r="E1" s="3">
        <v>2018</v>
      </c>
      <c r="F1" s="3">
        <v>2019</v>
      </c>
      <c r="G1" s="3">
        <v>2020</v>
      </c>
      <c r="H1" s="3">
        <v>2021</v>
      </c>
      <c r="I1" s="3">
        <v>2022</v>
      </c>
      <c r="J1" s="3">
        <v>2023</v>
      </c>
      <c r="K1" s="3">
        <v>2024</v>
      </c>
      <c r="L1" s="3">
        <v>2025</v>
      </c>
      <c r="M1" s="3">
        <v>2026</v>
      </c>
      <c r="N1" s="3">
        <v>2027</v>
      </c>
      <c r="O1" s="3">
        <v>2028</v>
      </c>
      <c r="P1" s="3">
        <v>2029</v>
      </c>
      <c r="Q1" s="3">
        <v>2030</v>
      </c>
      <c r="R1" s="4" t="s">
        <v>7</v>
      </c>
    </row>
    <row r="2" spans="1:20">
      <c r="A2" s="1" t="s">
        <v>0</v>
      </c>
      <c r="B2" s="6">
        <f>LOOKUP(B$1,'[1]1 цех_CapEx'!$F$1:$U$1,'[1]1 цех_CapEx'!$F$61:$U$61)</f>
        <v>17383.20534</v>
      </c>
      <c r="C2" s="6">
        <f>LOOKUP(C$1,'[1]1 цех_CapEx'!$F$1:$U$1,'[1]1 цех_CapEx'!$F$61:$U$61)</f>
        <v>13459.513695445681</v>
      </c>
      <c r="D2" s="6">
        <f>LOOKUP(D$1,'[1]1 цех_CapEx'!$F$1:$U$1,'[1]1 цех_CapEx'!$F$61:$U$61)</f>
        <v>155360.01239022438</v>
      </c>
      <c r="E2" s="6">
        <f>LOOKUP(E$1,'[1]1 цех_CapEx'!$F$1:$U$1,'[1]1 цех_CapEx'!$F$61:$U$61)</f>
        <v>242957.13194838638</v>
      </c>
      <c r="F2" s="6">
        <f>LOOKUP(F$1,'[1]1 цех_CapEx'!$F$1:$U$1,'[1]1 цех_CapEx'!$F$61:$U$61)</f>
        <v>248552.63448369721</v>
      </c>
      <c r="G2" s="6">
        <f>LOOKUP(G$1,'[1]1 цех_CapEx'!$F$1:$U$1,'[1]1 цех_CapEx'!$F$61:$U$61)</f>
        <v>548740.75028482103</v>
      </c>
      <c r="H2" s="6">
        <f>LOOKUP(H$1,'[1]1 цех_CapEx'!$F$1:$U$1,'[1]1 цех_CapEx'!$F$61:$U$61)</f>
        <v>724876.51057551149</v>
      </c>
      <c r="I2" s="6">
        <f>LOOKUP(I$1,'[1]1 цех_CapEx'!$F$1:$U$1,'[1]1 цех_CapEx'!$F$61:$U$61)</f>
        <v>58644.150931794647</v>
      </c>
      <c r="J2" s="6">
        <f>LOOKUP(J$1,'[1]1 цех_CapEx'!$F$1:$U$1,'[1]1 цех_CapEx'!$F$61:$U$61)</f>
        <v>107505.36182523746</v>
      </c>
      <c r="K2" s="6">
        <f>LOOKUP(K$1,'[1]1 цех_CapEx'!$F$1:$U$1,'[1]1 цех_CapEx'!$F$61:$U$61)</f>
        <v>30501.683470495587</v>
      </c>
      <c r="L2" s="6">
        <f>LOOKUP(L$1,'[1]1 цех_CapEx'!$F$1:$U$1,'[1]1 цех_CapEx'!$F$61:$U$61)</f>
        <v>796047.73491050128</v>
      </c>
      <c r="M2" s="6">
        <f>LOOKUP(M$1,'[1]1 цех_CapEx'!$F$1:$U$1,'[1]1 цех_CapEx'!$F$61:$U$61)</f>
        <v>0</v>
      </c>
      <c r="N2" s="6">
        <f>LOOKUP(N$1,'[1]1 цех_CapEx'!$F$1:$U$1,'[1]1 цех_CapEx'!$F$61:$U$61)</f>
        <v>0</v>
      </c>
      <c r="O2" s="6">
        <f>LOOKUP(O$1,'[1]1 цех_CapEx'!$F$1:$U$1,'[1]1 цех_CapEx'!$F$61:$U$61)</f>
        <v>0</v>
      </c>
      <c r="P2" s="6">
        <f>LOOKUP(P$1,'[1]1 цех_CapEx'!$F$1:$U$1,'[1]1 цех_CapEx'!$F$61:$U$61)</f>
        <v>0</v>
      </c>
      <c r="Q2" s="6">
        <f>LOOKUP(Q$1,'[1]1 цех_CapEx'!$F$1:$U$1,'[1]1 цех_CapEx'!$F$61:$U$61)</f>
        <v>0</v>
      </c>
      <c r="R2" s="5">
        <f>SUM(B2:Q2)</f>
        <v>2944028.6898561148</v>
      </c>
      <c r="S2" s="6"/>
      <c r="T2" s="6"/>
    </row>
    <row r="3" spans="1:20">
      <c r="A3" s="1" t="s">
        <v>1</v>
      </c>
      <c r="B3" s="6">
        <f>LOOKUP(B$1,'[2]2 цех_CapEx'!$F$1:$U$1,'[2]2 цех_CapEx'!$F$46:$U$46)</f>
        <v>3292.8011999999999</v>
      </c>
      <c r="C3" s="6">
        <f>LOOKUP(C$1,'[2]2 цех_CapEx'!$F$1:$U$1,'[2]2 цех_CapEx'!$F$46:$U$46)</f>
        <v>220824.87652898498</v>
      </c>
      <c r="D3" s="6">
        <f>LOOKUP(D$1,'[2]2 цех_CapEx'!$F$1:$U$1,'[2]2 цех_CapEx'!$F$46:$U$46)</f>
        <v>20891.180448699597</v>
      </c>
      <c r="E3" s="6">
        <f>LOOKUP(E$1,'[2]2 цех_CapEx'!$F$1:$U$1,'[2]2 цех_CapEx'!$F$46:$U$46)</f>
        <v>952095.2792965871</v>
      </c>
      <c r="F3" s="6">
        <f>LOOKUP(F$1,'[2]2 цех_CapEx'!$F$1:$U$1,'[2]2 цех_CapEx'!$F$46:$U$46)</f>
        <v>901009.70070561126</v>
      </c>
      <c r="G3" s="6">
        <f>LOOKUP(G$1,'[2]2 цех_CapEx'!$F$1:$U$1,'[2]2 цех_CapEx'!$F$46:$U$46)</f>
        <v>2258305.7553179325</v>
      </c>
      <c r="H3" s="6">
        <f>LOOKUP(H$1,'[2]2 цех_CapEx'!$F$1:$U$1,'[2]2 цех_CapEx'!$F$46:$U$46)</f>
        <v>509299.57139468042</v>
      </c>
      <c r="I3" s="6">
        <f>LOOKUP(I$1,'[2]2 цех_CapEx'!$F$1:$U$1,'[2]2 цех_CapEx'!$F$46:$U$46)</f>
        <v>519657.69865803636</v>
      </c>
      <c r="J3" s="6">
        <f>LOOKUP(J$1,'[2]2 цех_CapEx'!$F$1:$U$1,'[2]2 цех_CapEx'!$F$46:$U$46)</f>
        <v>0</v>
      </c>
      <c r="K3" s="6">
        <f>LOOKUP(K$1,'[2]2 цех_CapEx'!$F$1:$U$1,'[2]2 цех_CapEx'!$F$46:$U$46)</f>
        <v>811.2558618888803</v>
      </c>
      <c r="L3" s="6">
        <f>LOOKUP(L$1,'[2]2 цех_CapEx'!$F$1:$U$1,'[2]2 цех_CapEx'!$F$46:$U$46)</f>
        <v>27227.369236714603</v>
      </c>
      <c r="M3" s="6">
        <f>LOOKUP(M$1,'[2]2 цех_CapEx'!$F$1:$U$1,'[2]2 цех_CapEx'!$F$46:$U$46)</f>
        <v>0</v>
      </c>
      <c r="N3" s="6">
        <f>LOOKUP(N$1,'[2]2 цех_CapEx'!$F$1:$U$1,'[2]2 цех_CapEx'!$F$46:$U$46)</f>
        <v>0</v>
      </c>
      <c r="O3" s="6">
        <f>LOOKUP(O$1,'[2]2 цех_CapEx'!$F$1:$U$1,'[2]2 цех_CapEx'!$F$46:$U$46)</f>
        <v>0</v>
      </c>
      <c r="P3" s="6">
        <f>LOOKUP(P$1,'[2]2 цех_CapEx'!$F$1:$U$1,'[2]2 цех_CapEx'!$F$46:$U$46)</f>
        <v>0</v>
      </c>
      <c r="Q3" s="6">
        <f>LOOKUP(Q$1,'[2]2 цех_CapEx'!$F$1:$U$1,'[2]2 цех_CapEx'!$F$46:$U$46)</f>
        <v>0</v>
      </c>
      <c r="R3" s="5">
        <f t="shared" ref="R3:R8" si="0">SUM(B3:Q3)</f>
        <v>5413415.4886491345</v>
      </c>
      <c r="S3" s="6"/>
      <c r="T3" s="6"/>
    </row>
    <row r="4" spans="1:20">
      <c r="A4" s="1" t="s">
        <v>2</v>
      </c>
      <c r="B4" s="6">
        <f>LOOKUP(B$1,'[3]3 цех_CapEx'!$F$1:$U$1,'[3]3 цех_CapEx'!$F$51:$U$51)</f>
        <v>4552.4537459999992</v>
      </c>
      <c r="C4" s="6">
        <f>LOOKUP(C$1,'[3]3 цех_CapEx'!$F$1:$U$1,'[3]3 цех_CapEx'!$F$51:$U$51)</f>
        <v>80442.616434110998</v>
      </c>
      <c r="D4" s="6">
        <f>LOOKUP(D$1,'[3]3 цех_CapEx'!$F$1:$U$1,'[3]3 цех_CapEx'!$F$51:$U$51)</f>
        <v>118505.29523573705</v>
      </c>
      <c r="E4" s="6">
        <f>LOOKUP(E$1,'[3]3 цех_CapEx'!$F$1:$U$1,'[3]3 цех_CapEx'!$F$51:$U$51)</f>
        <v>201699.51466343467</v>
      </c>
      <c r="F4" s="6">
        <f>LOOKUP(F$1,'[3]3 цех_CapEx'!$F$1:$U$1,'[3]3 цех_CapEx'!$F$51:$U$51)</f>
        <v>690782.99087490025</v>
      </c>
      <c r="G4" s="6">
        <f>LOOKUP(G$1,'[3]3 цех_CapEx'!$F$1:$U$1,'[3]3 цех_CapEx'!$F$51:$U$51)</f>
        <v>1131825.8302267448</v>
      </c>
      <c r="H4" s="6">
        <f>LOOKUP(H$1,'[3]3 цех_CapEx'!$F$1:$U$1,'[3]3 цех_CapEx'!$F$51:$U$51)</f>
        <v>1555449.5839191179</v>
      </c>
      <c r="I4" s="6">
        <f>LOOKUP(I$1,'[3]3 цех_CapEx'!$F$1:$U$1,'[3]3 цех_CapEx'!$F$51:$U$51)</f>
        <v>493121.6558072553</v>
      </c>
      <c r="J4" s="6">
        <f>LOOKUP(J$1,'[3]3 цех_CapEx'!$F$1:$U$1,'[3]3 цех_CapEx'!$F$51:$U$51)</f>
        <v>57774.148558989065</v>
      </c>
      <c r="K4" s="6">
        <f>LOOKUP(K$1,'[3]3 цех_CapEx'!$F$1:$U$1,'[3]3 цех_CapEx'!$F$51:$U$51)</f>
        <v>0</v>
      </c>
      <c r="L4" s="6">
        <f>LOOKUP(L$1,'[3]3 цех_CapEx'!$F$1:$U$1,'[3]3 цех_CapEx'!$F$51:$U$51)</f>
        <v>0</v>
      </c>
      <c r="M4" s="6">
        <f>LOOKUP(M$1,'[3]3 цех_CapEx'!$F$1:$U$1,'[3]3 цех_CapEx'!$F$51:$U$51)</f>
        <v>0</v>
      </c>
      <c r="N4" s="6">
        <f>LOOKUP(N$1,'[3]3 цех_CapEx'!$F$1:$U$1,'[3]3 цех_CapEx'!$F$51:$U$51)</f>
        <v>0</v>
      </c>
      <c r="O4" s="6">
        <f>LOOKUP(O$1,'[3]3 цех_CapEx'!$F$1:$U$1,'[3]3 цех_CapEx'!$F$51:$U$51)</f>
        <v>0</v>
      </c>
      <c r="P4" s="6">
        <f>LOOKUP(P$1,'[3]3 цех_CapEx'!$F$1:$U$1,'[3]3 цех_CapEx'!$F$51:$U$51)</f>
        <v>0</v>
      </c>
      <c r="Q4" s="6">
        <f>LOOKUP(Q$1,'[3]3 цех_CapEx'!$F$1:$U$1,'[3]3 цех_CapEx'!$F$51:$U$51)</f>
        <v>0</v>
      </c>
      <c r="R4" s="5">
        <f t="shared" si="0"/>
        <v>4334154.0894662905</v>
      </c>
      <c r="S4" s="6"/>
      <c r="T4" s="6"/>
    </row>
    <row r="5" spans="1:20">
      <c r="A5" s="1" t="s">
        <v>3</v>
      </c>
      <c r="B5" s="6">
        <f>LOOKUP(B$1,'[4]4 цех_CapEx'!$F$1:$U$1,'[4]4 цех_CapEx'!$F$36:$U$36)</f>
        <v>522.90318000000002</v>
      </c>
      <c r="C5" s="6">
        <f>LOOKUP(C$1,'[4]4 цех_CapEx'!$F$1:$U$1,'[4]4 цех_CapEx'!$F$36:$U$36)</f>
        <v>1148.21851302</v>
      </c>
      <c r="D5" s="6">
        <f>LOOKUP(D$1,'[4]4 цех_CapEx'!$F$1:$U$1,'[4]4 цех_CapEx'!$F$36:$U$36)</f>
        <v>322.47915719999997</v>
      </c>
      <c r="E5" s="6">
        <f>LOOKUP(E$1,'[4]4 цех_CapEx'!$F$1:$U$1,'[4]4 цех_CapEx'!$F$36:$U$36)</f>
        <v>26917.184745546634</v>
      </c>
      <c r="F5" s="6">
        <f>LOOKUP(F$1,'[4]4 цех_CapEx'!$F$1:$U$1,'[4]4 цех_CapEx'!$F$36:$U$36)</f>
        <v>250477.12447507918</v>
      </c>
      <c r="G5" s="6">
        <f>LOOKUP(G$1,'[4]4 цех_CapEx'!$F$1:$U$1,'[4]4 цех_CapEx'!$F$36:$U$36)</f>
        <v>362741.92051272362</v>
      </c>
      <c r="H5" s="6">
        <f>LOOKUP(H$1,'[4]4 цех_CapEx'!$F$1:$U$1,'[4]4 цех_CapEx'!$F$36:$U$36)</f>
        <v>283675.10618803976</v>
      </c>
      <c r="I5" s="6">
        <f>LOOKUP(I$1,'[4]4 цех_CapEx'!$F$1:$U$1,'[4]4 цех_CapEx'!$F$36:$U$36)</f>
        <v>19514.95212031544</v>
      </c>
      <c r="J5" s="6">
        <f>LOOKUP(J$1,'[4]4 цех_CapEx'!$F$1:$U$1,'[4]4 цех_CapEx'!$F$36:$U$36)</f>
        <v>56086.415864111528</v>
      </c>
      <c r="K5" s="6">
        <f>LOOKUP(K$1,'[4]4 цех_CapEx'!$F$1:$U$1,'[4]4 цех_CapEx'!$F$36:$U$36)</f>
        <v>116.47571274059727</v>
      </c>
      <c r="L5" s="6">
        <f>LOOKUP(L$1,'[4]4 цех_CapEx'!$F$1:$U$1,'[4]4 цех_CapEx'!$F$36:$U$36)</f>
        <v>3909.1578709999253</v>
      </c>
      <c r="M5" s="6">
        <f>LOOKUP(M$1,'[4]4 цех_CapEx'!$F$1:$U$1,'[4]4 цех_CapEx'!$F$36:$U$36)</f>
        <v>0</v>
      </c>
      <c r="N5" s="6">
        <f>LOOKUP(N$1,'[4]4 цех_CapEx'!$F$1:$U$1,'[4]4 цех_CapEx'!$F$36:$U$36)</f>
        <v>0</v>
      </c>
      <c r="O5" s="6">
        <f>LOOKUP(O$1,'[4]4 цех_CapEx'!$F$1:$U$1,'[4]4 цех_CapEx'!$F$36:$U$36)</f>
        <v>0</v>
      </c>
      <c r="P5" s="6">
        <f>LOOKUP(P$1,'[4]4 цех_CapEx'!$F$1:$U$1,'[4]4 цех_CapEx'!$F$36:$U$36)</f>
        <v>0</v>
      </c>
      <c r="Q5" s="6">
        <f>LOOKUP(Q$1,'[4]4 цех_CapEx'!$F$1:$U$1,'[4]4 цех_CapEx'!$F$36:$U$36)</f>
        <v>0</v>
      </c>
      <c r="R5" s="5">
        <f t="shared" si="0"/>
        <v>1005431.9383397765</v>
      </c>
      <c r="S5" s="6"/>
      <c r="T5" s="6"/>
    </row>
    <row r="6" spans="1:20">
      <c r="A6" s="1" t="s">
        <v>4</v>
      </c>
      <c r="B6" s="6">
        <f>LOOKUP(B$1,'[5]5 цех_CapEx'!$F$1:$U$1,'[5]5 цех_CapEx'!$F$34:$U$34)</f>
        <v>1201.4470200000001</v>
      </c>
      <c r="C6" s="6">
        <f>LOOKUP(C$1,'[5]5 цех_CapEx'!$F$1:$U$1,'[5]5 цех_CapEx'!$F$34:$U$34)</f>
        <v>0</v>
      </c>
      <c r="D6" s="6">
        <f>LOOKUP(D$1,'[5]5 цех_CapEx'!$F$1:$U$1,'[5]5 цех_CapEx'!$F$34:$U$34)</f>
        <v>3070.4911692804003</v>
      </c>
      <c r="E6" s="6">
        <f>LOOKUP(E$1,'[5]5 цех_CapEx'!$F$1:$U$1,'[5]5 цех_CapEx'!$F$34:$U$34)</f>
        <v>129716.49054920314</v>
      </c>
      <c r="F6" s="6">
        <f>LOOKUP(F$1,'[5]5 цех_CapEx'!$F$1:$U$1,'[5]5 цех_CapEx'!$F$34:$U$34)</f>
        <v>146621.02477000601</v>
      </c>
      <c r="G6" s="6">
        <f>LOOKUP(G$1,'[5]5 цех_CapEx'!$F$1:$U$1,'[5]5 цех_CapEx'!$F$34:$U$34)</f>
        <v>327472.99018144415</v>
      </c>
      <c r="H6" s="6">
        <f>LOOKUP(H$1,'[5]5 цех_CapEx'!$F$1:$U$1,'[5]5 цех_CapEx'!$F$34:$U$34)</f>
        <v>124353.66890701964</v>
      </c>
      <c r="I6" s="6">
        <f>LOOKUP(I$1,'[5]5 цех_CapEx'!$F$1:$U$1,'[5]5 цех_CapEx'!$F$34:$U$34)</f>
        <v>303543.03417131567</v>
      </c>
      <c r="J6" s="6">
        <f>LOOKUP(J$1,'[5]5 цех_CapEx'!$F$1:$U$1,'[5]5 цех_CapEx'!$F$34:$U$34)</f>
        <v>153478.14712544685</v>
      </c>
      <c r="K6" s="6">
        <f>LOOKUP(K$1,'[5]5 цех_CapEx'!$F$1:$U$1,'[5]5 цех_CapEx'!$F$34:$U$34)</f>
        <v>0</v>
      </c>
      <c r="L6" s="6">
        <f>LOOKUP(L$1,'[5]5 цех_CapEx'!$F$1:$U$1,'[5]5 цех_CapEx'!$F$34:$U$34)</f>
        <v>0</v>
      </c>
      <c r="M6" s="6">
        <f>LOOKUP(M$1,'[5]5 цех_CapEx'!$F$1:$U$1,'[5]5 цех_CapEx'!$F$34:$U$34)</f>
        <v>0</v>
      </c>
      <c r="N6" s="6">
        <f>LOOKUP(N$1,'[5]5 цех_CapEx'!$F$1:$U$1,'[5]5 цех_CapEx'!$F$34:$U$34)</f>
        <v>0</v>
      </c>
      <c r="O6" s="6">
        <f>LOOKUP(O$1,'[5]5 цех_CapEx'!$F$1:$U$1,'[5]5 цех_CapEx'!$F$34:$U$34)</f>
        <v>0</v>
      </c>
      <c r="P6" s="6">
        <f>LOOKUP(P$1,'[5]5 цех_CapEx'!$F$1:$U$1,'[5]5 цех_CapEx'!$F$34:$U$34)</f>
        <v>0</v>
      </c>
      <c r="Q6" s="6">
        <f>LOOKUP(Q$1,'[5]5 цех_CapEx'!$F$1:$U$1,'[5]5 цех_CapEx'!$F$34:$U$34)</f>
        <v>0</v>
      </c>
      <c r="R6" s="5">
        <f t="shared" si="0"/>
        <v>1189457.2938937161</v>
      </c>
      <c r="S6" s="6"/>
      <c r="T6" s="6"/>
    </row>
    <row r="7" spans="1:20">
      <c r="A7" s="1" t="s">
        <v>5</v>
      </c>
      <c r="B7" s="6">
        <f>LOOKUP(B$1,'[6]6 цех_CapEx'!$F$1:$U$1,'[6]6 цех_CapEx'!$F$27:$U$27)</f>
        <v>0</v>
      </c>
      <c r="C7" s="6">
        <f>LOOKUP(C$1,'[6]6 цех_CapEx'!$F$1:$U$1,'[6]6 цех_CapEx'!$F$27:$U$27)</f>
        <v>72.946601400000006</v>
      </c>
      <c r="D7" s="6">
        <f>LOOKUP(D$1,'[6]6 цех_CapEx'!$F$1:$U$1,'[6]6 цех_CapEx'!$F$27:$U$27)</f>
        <v>4111.6386127172</v>
      </c>
      <c r="E7" s="6">
        <f>LOOKUP(E$1,'[6]6 цех_CapEx'!$F$1:$U$1,'[6]6 цех_CapEx'!$F$27:$U$27)</f>
        <v>66308.174761131479</v>
      </c>
      <c r="F7" s="6">
        <f>LOOKUP(F$1,'[6]6 цех_CapEx'!$F$1:$U$1,'[6]6 цех_CapEx'!$F$27:$U$27)</f>
        <v>35081.128016564478</v>
      </c>
      <c r="G7" s="6">
        <f>LOOKUP(G$1,'[6]6 цех_CapEx'!$F$1:$U$1,'[6]6 цех_CapEx'!$F$27:$U$27)</f>
        <v>1152493.7364105382</v>
      </c>
      <c r="H7" s="6">
        <f>LOOKUP(H$1,'[6]6 цех_CapEx'!$F$1:$U$1,'[6]6 цех_CapEx'!$F$27:$U$27)</f>
        <v>114084.47254727461</v>
      </c>
      <c r="I7" s="6">
        <f>LOOKUP(I$1,'[6]6 цех_CapEx'!$F$1:$U$1,'[6]6 цех_CapEx'!$F$27:$U$27)</f>
        <v>0</v>
      </c>
      <c r="J7" s="6">
        <f>LOOKUP(J$1,'[6]6 цех_CapEx'!$F$1:$U$1,'[6]6 цех_CapEx'!$F$27:$U$27)</f>
        <v>25427.193866078742</v>
      </c>
      <c r="K7" s="6">
        <f>LOOKUP(K$1,'[6]6 цех_CapEx'!$F$1:$U$1,'[6]6 цех_CapEx'!$F$27:$U$27)</f>
        <v>48084.923008461883</v>
      </c>
      <c r="L7" s="6">
        <f>LOOKUP(L$1,'[6]6 цех_CapEx'!$F$1:$U$1,'[6]6 цех_CapEx'!$F$27:$U$27)</f>
        <v>1613826.186009998</v>
      </c>
      <c r="M7" s="6">
        <f>LOOKUP(M$1,'[6]6 цех_CapEx'!$F$1:$U$1,'[6]6 цех_CapEx'!$F$27:$U$27)</f>
        <v>0</v>
      </c>
      <c r="N7" s="6">
        <f>LOOKUP(N$1,'[6]6 цех_CapEx'!$F$1:$U$1,'[6]6 цех_CapEx'!$F$27:$U$27)</f>
        <v>0</v>
      </c>
      <c r="O7" s="6">
        <f>LOOKUP(O$1,'[6]6 цех_CapEx'!$F$1:$U$1,'[6]6 цех_CapEx'!$F$27:$U$27)</f>
        <v>0</v>
      </c>
      <c r="P7" s="6">
        <f>LOOKUP(P$1,'[6]6 цех_CapEx'!$F$1:$U$1,'[6]6 цех_CapEx'!$F$27:$U$27)</f>
        <v>0</v>
      </c>
      <c r="Q7" s="6">
        <f>LOOKUP(Q$1,'[6]6 цех_CapEx'!$F$1:$U$1,'[6]6 цех_CapEx'!$F$27:$U$27)</f>
        <v>0</v>
      </c>
      <c r="R7" s="5">
        <f t="shared" si="0"/>
        <v>3059490.3998341644</v>
      </c>
      <c r="S7" s="6"/>
      <c r="T7" s="6"/>
    </row>
    <row r="8" spans="1:20" s="2" customFormat="1">
      <c r="A8" s="2" t="s">
        <v>6</v>
      </c>
      <c r="B8" s="5">
        <f>SUM(B2:B7)</f>
        <v>26952.810486000002</v>
      </c>
      <c r="C8" s="5">
        <f t="shared" ref="C8:Q8" si="1">SUM(C2:C7)</f>
        <v>315948.17177296162</v>
      </c>
      <c r="D8" s="5">
        <f t="shared" si="1"/>
        <v>302261.09701385861</v>
      </c>
      <c r="E8" s="5">
        <f t="shared" si="1"/>
        <v>1619693.7759642894</v>
      </c>
      <c r="F8" s="5">
        <f t="shared" si="1"/>
        <v>2272524.6033258582</v>
      </c>
      <c r="G8" s="5">
        <f t="shared" si="1"/>
        <v>5781580.9829342049</v>
      </c>
      <c r="H8" s="5">
        <f t="shared" si="1"/>
        <v>3311738.9135316438</v>
      </c>
      <c r="I8" s="5">
        <f t="shared" si="1"/>
        <v>1394481.4916887174</v>
      </c>
      <c r="J8" s="5">
        <f t="shared" si="1"/>
        <v>400271.26723986364</v>
      </c>
      <c r="K8" s="5">
        <f t="shared" si="1"/>
        <v>79514.338053586951</v>
      </c>
      <c r="L8" s="5">
        <f t="shared" si="1"/>
        <v>2441010.4480282138</v>
      </c>
      <c r="M8" s="5">
        <f t="shared" si="1"/>
        <v>0</v>
      </c>
      <c r="N8" s="5">
        <f t="shared" si="1"/>
        <v>0</v>
      </c>
      <c r="O8" s="5">
        <f t="shared" si="1"/>
        <v>0</v>
      </c>
      <c r="P8" s="5">
        <f t="shared" si="1"/>
        <v>0</v>
      </c>
      <c r="Q8" s="5">
        <f t="shared" si="1"/>
        <v>0</v>
      </c>
      <c r="R8" s="5">
        <f t="shared" si="0"/>
        <v>17945977.9000392</v>
      </c>
      <c r="S8" s="6"/>
      <c r="T8" s="6"/>
    </row>
    <row r="9" spans="1:20" s="7" customFormat="1">
      <c r="A9" s="7" t="s">
        <v>8</v>
      </c>
    </row>
    <row r="10" spans="1:20">
      <c r="A10" s="1" t="s">
        <v>0</v>
      </c>
      <c r="B10" s="8">
        <f t="shared" ref="B10:B15" si="2">B2</f>
        <v>17383.20534</v>
      </c>
      <c r="C10" s="6">
        <f>B10+C2</f>
        <v>30842.719035445683</v>
      </c>
      <c r="D10" s="6">
        <f t="shared" ref="D10:Q10" si="3">C10+D2</f>
        <v>186202.73142567006</v>
      </c>
      <c r="E10" s="6">
        <f t="shared" si="3"/>
        <v>429159.86337405641</v>
      </c>
      <c r="F10" s="6">
        <f t="shared" si="3"/>
        <v>677712.49785775365</v>
      </c>
      <c r="G10" s="6">
        <f t="shared" si="3"/>
        <v>1226453.2481425747</v>
      </c>
      <c r="H10" s="6">
        <f t="shared" si="3"/>
        <v>1951329.7587180862</v>
      </c>
      <c r="I10" s="6">
        <f t="shared" si="3"/>
        <v>2009973.9096498808</v>
      </c>
      <c r="J10" s="6">
        <f t="shared" si="3"/>
        <v>2117479.2714751181</v>
      </c>
      <c r="K10" s="6">
        <f t="shared" si="3"/>
        <v>2147980.9549456136</v>
      </c>
      <c r="L10" s="6">
        <f t="shared" si="3"/>
        <v>2944028.6898561148</v>
      </c>
      <c r="M10" s="6">
        <f t="shared" si="3"/>
        <v>2944028.6898561148</v>
      </c>
      <c r="N10" s="6">
        <f t="shared" si="3"/>
        <v>2944028.6898561148</v>
      </c>
      <c r="O10" s="6">
        <f t="shared" si="3"/>
        <v>2944028.6898561148</v>
      </c>
      <c r="P10" s="6">
        <f t="shared" si="3"/>
        <v>2944028.6898561148</v>
      </c>
      <c r="Q10" s="6">
        <f t="shared" si="3"/>
        <v>2944028.6898561148</v>
      </c>
    </row>
    <row r="11" spans="1:20">
      <c r="A11" s="1" t="s">
        <v>1</v>
      </c>
      <c r="B11" s="8">
        <f t="shared" si="2"/>
        <v>3292.8011999999999</v>
      </c>
      <c r="C11" s="6">
        <f t="shared" ref="C11:Q15" si="4">B11+C3</f>
        <v>224117.67772898497</v>
      </c>
      <c r="D11" s="6">
        <f t="shared" si="4"/>
        <v>245008.85817768457</v>
      </c>
      <c r="E11" s="6">
        <f t="shared" si="4"/>
        <v>1197104.1374742717</v>
      </c>
      <c r="F11" s="6">
        <f t="shared" si="4"/>
        <v>2098113.8381798831</v>
      </c>
      <c r="G11" s="6">
        <f t="shared" si="4"/>
        <v>4356419.5934978155</v>
      </c>
      <c r="H11" s="6">
        <f t="shared" si="4"/>
        <v>4865719.1648924956</v>
      </c>
      <c r="I11" s="6">
        <f t="shared" si="4"/>
        <v>5385376.8635505317</v>
      </c>
      <c r="J11" s="6">
        <f t="shared" si="4"/>
        <v>5385376.8635505317</v>
      </c>
      <c r="K11" s="6">
        <f t="shared" si="4"/>
        <v>5386188.1194124203</v>
      </c>
      <c r="L11" s="6">
        <f t="shared" si="4"/>
        <v>5413415.4886491345</v>
      </c>
      <c r="M11" s="6">
        <f t="shared" si="4"/>
        <v>5413415.4886491345</v>
      </c>
      <c r="N11" s="6">
        <f t="shared" si="4"/>
        <v>5413415.4886491345</v>
      </c>
      <c r="O11" s="6">
        <f t="shared" si="4"/>
        <v>5413415.4886491345</v>
      </c>
      <c r="P11" s="6">
        <f t="shared" si="4"/>
        <v>5413415.4886491345</v>
      </c>
      <c r="Q11" s="6">
        <f t="shared" si="4"/>
        <v>5413415.4886491345</v>
      </c>
    </row>
    <row r="12" spans="1:20">
      <c r="A12" s="1" t="s">
        <v>2</v>
      </c>
      <c r="B12" s="8">
        <f t="shared" si="2"/>
        <v>4552.4537459999992</v>
      </c>
      <c r="C12" s="6">
        <f t="shared" si="4"/>
        <v>84995.070180110997</v>
      </c>
      <c r="D12" s="6">
        <f t="shared" si="4"/>
        <v>203500.36541584803</v>
      </c>
      <c r="E12" s="6">
        <f t="shared" si="4"/>
        <v>405199.88007928268</v>
      </c>
      <c r="F12" s="6">
        <f t="shared" si="4"/>
        <v>1095982.8709541829</v>
      </c>
      <c r="G12" s="6">
        <f t="shared" si="4"/>
        <v>2227808.7011809275</v>
      </c>
      <c r="H12" s="6">
        <f t="shared" si="4"/>
        <v>3783258.2851000456</v>
      </c>
      <c r="I12" s="6">
        <f t="shared" si="4"/>
        <v>4276379.9409073014</v>
      </c>
      <c r="J12" s="6">
        <f t="shared" si="4"/>
        <v>4334154.0894662905</v>
      </c>
      <c r="K12" s="6">
        <f t="shared" si="4"/>
        <v>4334154.0894662905</v>
      </c>
      <c r="L12" s="6">
        <f t="shared" si="4"/>
        <v>4334154.0894662905</v>
      </c>
      <c r="M12" s="6">
        <f t="shared" si="4"/>
        <v>4334154.0894662905</v>
      </c>
      <c r="N12" s="6">
        <f t="shared" si="4"/>
        <v>4334154.0894662905</v>
      </c>
      <c r="O12" s="6">
        <f t="shared" si="4"/>
        <v>4334154.0894662905</v>
      </c>
      <c r="P12" s="6">
        <f t="shared" si="4"/>
        <v>4334154.0894662905</v>
      </c>
      <c r="Q12" s="6">
        <f t="shared" si="4"/>
        <v>4334154.0894662905</v>
      </c>
    </row>
    <row r="13" spans="1:20">
      <c r="A13" s="1" t="s">
        <v>3</v>
      </c>
      <c r="B13" s="8">
        <f t="shared" si="2"/>
        <v>522.90318000000002</v>
      </c>
      <c r="C13" s="6">
        <f t="shared" si="4"/>
        <v>1671.1216930200001</v>
      </c>
      <c r="D13" s="6">
        <f t="shared" si="4"/>
        <v>1993.60085022</v>
      </c>
      <c r="E13" s="6">
        <f t="shared" si="4"/>
        <v>28910.785595766632</v>
      </c>
      <c r="F13" s="6">
        <f t="shared" si="4"/>
        <v>279387.9100708458</v>
      </c>
      <c r="G13" s="6">
        <f t="shared" si="4"/>
        <v>642129.83058356936</v>
      </c>
      <c r="H13" s="6">
        <f t="shared" si="4"/>
        <v>925804.93677160912</v>
      </c>
      <c r="I13" s="6">
        <f t="shared" si="4"/>
        <v>945319.88889192452</v>
      </c>
      <c r="J13" s="6">
        <f t="shared" si="4"/>
        <v>1001406.304756036</v>
      </c>
      <c r="K13" s="6">
        <f t="shared" si="4"/>
        <v>1001522.7804687766</v>
      </c>
      <c r="L13" s="6">
        <f t="shared" si="4"/>
        <v>1005431.9383397765</v>
      </c>
      <c r="M13" s="6">
        <f t="shared" si="4"/>
        <v>1005431.9383397765</v>
      </c>
      <c r="N13" s="6">
        <f t="shared" si="4"/>
        <v>1005431.9383397765</v>
      </c>
      <c r="O13" s="6">
        <f t="shared" si="4"/>
        <v>1005431.9383397765</v>
      </c>
      <c r="P13" s="6">
        <f t="shared" si="4"/>
        <v>1005431.9383397765</v>
      </c>
      <c r="Q13" s="6">
        <f t="shared" si="4"/>
        <v>1005431.9383397765</v>
      </c>
    </row>
    <row r="14" spans="1:20">
      <c r="A14" s="1" t="s">
        <v>4</v>
      </c>
      <c r="B14" s="8">
        <f t="shared" si="2"/>
        <v>1201.4470200000001</v>
      </c>
      <c r="C14" s="6">
        <f t="shared" si="4"/>
        <v>1201.4470200000001</v>
      </c>
      <c r="D14" s="6">
        <f t="shared" si="4"/>
        <v>4271.9381892804004</v>
      </c>
      <c r="E14" s="6">
        <f t="shared" si="4"/>
        <v>133988.42873848355</v>
      </c>
      <c r="F14" s="6">
        <f t="shared" si="4"/>
        <v>280609.45350848953</v>
      </c>
      <c r="G14" s="6">
        <f t="shared" si="4"/>
        <v>608082.44368993375</v>
      </c>
      <c r="H14" s="6">
        <f t="shared" si="4"/>
        <v>732436.1125969534</v>
      </c>
      <c r="I14" s="6">
        <f t="shared" si="4"/>
        <v>1035979.1467682691</v>
      </c>
      <c r="J14" s="6">
        <f t="shared" si="4"/>
        <v>1189457.2938937161</v>
      </c>
      <c r="K14" s="6">
        <f t="shared" si="4"/>
        <v>1189457.2938937161</v>
      </c>
      <c r="L14" s="6">
        <f t="shared" si="4"/>
        <v>1189457.2938937161</v>
      </c>
      <c r="M14" s="6">
        <f t="shared" si="4"/>
        <v>1189457.2938937161</v>
      </c>
      <c r="N14" s="6">
        <f t="shared" si="4"/>
        <v>1189457.2938937161</v>
      </c>
      <c r="O14" s="6">
        <f t="shared" si="4"/>
        <v>1189457.2938937161</v>
      </c>
      <c r="P14" s="6">
        <f t="shared" si="4"/>
        <v>1189457.2938937161</v>
      </c>
      <c r="Q14" s="6">
        <f t="shared" si="4"/>
        <v>1189457.2938937161</v>
      </c>
    </row>
    <row r="15" spans="1:20">
      <c r="A15" s="1" t="s">
        <v>5</v>
      </c>
      <c r="B15" s="8">
        <f t="shared" si="2"/>
        <v>0</v>
      </c>
      <c r="C15" s="6">
        <f t="shared" si="4"/>
        <v>72.946601400000006</v>
      </c>
      <c r="D15" s="6">
        <f t="shared" si="4"/>
        <v>4184.5852141171999</v>
      </c>
      <c r="E15" s="6">
        <f t="shared" si="4"/>
        <v>70492.759975248686</v>
      </c>
      <c r="F15" s="6">
        <f t="shared" si="4"/>
        <v>105573.88799181316</v>
      </c>
      <c r="G15" s="6">
        <f t="shared" si="4"/>
        <v>1258067.6244023514</v>
      </c>
      <c r="H15" s="6">
        <f t="shared" si="4"/>
        <v>1372152.096949626</v>
      </c>
      <c r="I15" s="6">
        <f t="shared" si="4"/>
        <v>1372152.096949626</v>
      </c>
      <c r="J15" s="6">
        <f t="shared" si="4"/>
        <v>1397579.2908157047</v>
      </c>
      <c r="K15" s="6">
        <f t="shared" si="4"/>
        <v>1445664.2138241667</v>
      </c>
      <c r="L15" s="6">
        <f t="shared" si="4"/>
        <v>3059490.3998341644</v>
      </c>
      <c r="M15" s="6">
        <f t="shared" si="4"/>
        <v>3059490.3998341644</v>
      </c>
      <c r="N15" s="6">
        <f t="shared" si="4"/>
        <v>3059490.3998341644</v>
      </c>
      <c r="O15" s="6">
        <f t="shared" si="4"/>
        <v>3059490.3998341644</v>
      </c>
      <c r="P15" s="6">
        <f t="shared" si="4"/>
        <v>3059490.3998341644</v>
      </c>
      <c r="Q15" s="6">
        <f t="shared" si="4"/>
        <v>3059490.3998341644</v>
      </c>
    </row>
    <row r="16" spans="1:20">
      <c r="A16" s="2" t="s">
        <v>6</v>
      </c>
      <c r="B16" s="5">
        <f>SUM(B10:B15)</f>
        <v>26952.810486000002</v>
      </c>
      <c r="C16" s="5">
        <f>SUM(C10:C15)</f>
        <v>342900.98225896165</v>
      </c>
      <c r="D16" s="5">
        <f t="shared" ref="D16:Q16" si="5">SUM(D10:D15)</f>
        <v>645162.07927282027</v>
      </c>
      <c r="E16" s="5">
        <f t="shared" si="5"/>
        <v>2264855.8552371096</v>
      </c>
      <c r="F16" s="5">
        <f t="shared" si="5"/>
        <v>4537380.4585629683</v>
      </c>
      <c r="G16" s="5">
        <f t="shared" si="5"/>
        <v>10318961.441497171</v>
      </c>
      <c r="H16" s="5">
        <f t="shared" si="5"/>
        <v>13630700.355028816</v>
      </c>
      <c r="I16" s="5">
        <f t="shared" si="5"/>
        <v>15025181.846717533</v>
      </c>
      <c r="J16" s="5">
        <f t="shared" si="5"/>
        <v>15425453.113957398</v>
      </c>
      <c r="K16" s="5">
        <f t="shared" si="5"/>
        <v>15504967.452010982</v>
      </c>
      <c r="L16" s="5">
        <f t="shared" si="5"/>
        <v>17945977.900039196</v>
      </c>
      <c r="M16" s="5">
        <f t="shared" si="5"/>
        <v>17945977.900039196</v>
      </c>
      <c r="N16" s="5">
        <f t="shared" si="5"/>
        <v>17945977.900039196</v>
      </c>
      <c r="O16" s="5">
        <f t="shared" si="5"/>
        <v>17945977.900039196</v>
      </c>
      <c r="P16" s="5">
        <f t="shared" si="5"/>
        <v>17945977.900039196</v>
      </c>
      <c r="Q16" s="5">
        <f t="shared" si="5"/>
        <v>17945977.900039196</v>
      </c>
    </row>
    <row r="21" spans="2:9">
      <c r="B21" s="6"/>
      <c r="C21" s="6"/>
      <c r="D21" s="6"/>
      <c r="E21" s="6"/>
      <c r="F21" s="6"/>
      <c r="G21" s="6"/>
      <c r="H21" s="6"/>
      <c r="I21" s="6"/>
    </row>
    <row r="22" spans="2:9">
      <c r="B22" s="6"/>
      <c r="C22" s="6"/>
      <c r="D22" s="6"/>
      <c r="E22" s="6"/>
      <c r="F22" s="6"/>
      <c r="G22" s="6"/>
      <c r="H22" s="6"/>
      <c r="I22" s="6"/>
    </row>
    <row r="23" spans="2:9">
      <c r="B23" s="6"/>
      <c r="C23" s="6"/>
      <c r="D23" s="6"/>
      <c r="E23" s="6"/>
      <c r="F23" s="6"/>
      <c r="G23" s="6"/>
      <c r="H23" s="6"/>
      <c r="I23" s="6"/>
    </row>
    <row r="24" spans="2:9">
      <c r="B24" s="6"/>
      <c r="C24" s="6"/>
      <c r="D24" s="6"/>
      <c r="E24" s="6"/>
      <c r="F24" s="6"/>
      <c r="G24" s="6"/>
      <c r="H24" s="6"/>
      <c r="I24" s="6"/>
    </row>
    <row r="25" spans="2:9">
      <c r="B25" s="6"/>
      <c r="C25" s="6"/>
      <c r="D25" s="6"/>
      <c r="E25" s="6"/>
      <c r="F25" s="6"/>
      <c r="G25" s="6"/>
      <c r="H25" s="6"/>
      <c r="I25" s="6"/>
    </row>
    <row r="26" spans="2:9">
      <c r="B26" s="6"/>
      <c r="C26" s="6"/>
      <c r="D26" s="6"/>
      <c r="E26" s="6"/>
      <c r="F26" s="6"/>
      <c r="G26" s="6"/>
      <c r="H26" s="6"/>
      <c r="I26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T2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/>
  <cols>
    <col min="1" max="1" width="12.28515625" style="1" bestFit="1" customWidth="1"/>
    <col min="2" max="2" width="9.140625" style="1" bestFit="1" customWidth="1"/>
    <col min="3" max="17" width="10.140625" style="1" bestFit="1" customWidth="1"/>
    <col min="18" max="18" width="11.140625" style="1" bestFit="1" customWidth="1"/>
    <col min="19" max="19" width="10.28515625" style="1" customWidth="1"/>
    <col min="20" max="20" width="10.140625" style="1" bestFit="1" customWidth="1"/>
    <col min="21" max="16384" width="9.140625" style="1"/>
  </cols>
  <sheetData>
    <row r="1" spans="1:20">
      <c r="B1" s="3">
        <v>2015</v>
      </c>
      <c r="C1" s="3">
        <v>2016</v>
      </c>
      <c r="D1" s="3">
        <v>2017</v>
      </c>
      <c r="E1" s="3">
        <v>2018</v>
      </c>
      <c r="F1" s="3">
        <v>2019</v>
      </c>
      <c r="G1" s="3">
        <v>2020</v>
      </c>
      <c r="H1" s="3">
        <v>2021</v>
      </c>
      <c r="I1" s="3">
        <v>2022</v>
      </c>
      <c r="J1" s="3">
        <v>2023</v>
      </c>
      <c r="K1" s="3">
        <v>2024</v>
      </c>
      <c r="L1" s="3">
        <v>2025</v>
      </c>
      <c r="M1" s="3">
        <v>2026</v>
      </c>
      <c r="N1" s="3">
        <v>2027</v>
      </c>
      <c r="O1" s="3">
        <v>2028</v>
      </c>
      <c r="P1" s="3">
        <v>2029</v>
      </c>
      <c r="Q1" s="3">
        <v>2030</v>
      </c>
      <c r="R1" s="4" t="s">
        <v>7</v>
      </c>
    </row>
    <row r="2" spans="1:20" s="7" customFormat="1">
      <c r="A2" s="7" t="s">
        <v>10</v>
      </c>
    </row>
    <row r="3" spans="1:20">
      <c r="A3" s="9" t="s">
        <v>0</v>
      </c>
      <c r="B3" s="6">
        <f>LOOKUP(B$1,'[1]Цех 1_Потери добычи (физ объем)'!$F$1:$U$1,'[1]Цех 1_Потери добычи (физ объем)'!$F$61:$U$61)</f>
        <v>3.6030058285590898</v>
      </c>
      <c r="C3" s="6">
        <f>LOOKUP(C$1,'[1]Цех 1_Потери добычи (физ объем)'!$F$1:$U$1,'[1]Цех 1_Потери добычи (физ объем)'!$F$61:$U$61)</f>
        <v>3.6030058285590898</v>
      </c>
      <c r="D3" s="6">
        <f>LOOKUP(D$1,'[1]Цех 1_Потери добычи (физ объем)'!$F$1:$U$1,'[1]Цех 1_Потери добычи (физ объем)'!$F$61:$U$61)</f>
        <v>3.6030058285590898</v>
      </c>
      <c r="E3" s="6">
        <f>LOOKUP(E$1,'[1]Цех 1_Потери добычи (физ объем)'!$F$1:$U$1,'[1]Цех 1_Потери добычи (физ объем)'!$F$61:$U$61)</f>
        <v>12.883305504422424</v>
      </c>
      <c r="F3" s="6">
        <f>LOOKUP(F$1,'[1]Цех 1_Потери добычи (физ объем)'!$F$1:$U$1,'[1]Цех 1_Потери добычи (физ объем)'!$F$61:$U$61)</f>
        <v>64.554285128492651</v>
      </c>
      <c r="G3" s="6">
        <f>LOOKUP(G$1,'[1]Цех 1_Потери добычи (физ объем)'!$F$1:$U$1,'[1]Цех 1_Потери добычи (физ объем)'!$F$61:$U$61)</f>
        <v>70.279513366894292</v>
      </c>
      <c r="H3" s="6">
        <f>LOOKUP(H$1,'[1]Цех 1_Потери добычи (физ объем)'!$F$1:$U$1,'[1]Цех 1_Потери добычи (физ объем)'!$F$61:$U$61)</f>
        <v>217.95115096468953</v>
      </c>
      <c r="I3" s="6">
        <f>LOOKUP(I$1,'[1]Цех 1_Потери добычи (физ объем)'!$F$1:$U$1,'[1]Цех 1_Потери добычи (физ объем)'!$F$61:$U$61)</f>
        <v>764.22023008972201</v>
      </c>
      <c r="J3" s="6">
        <f>LOOKUP(J$1,'[1]Цех 1_Потери добычи (физ объем)'!$F$1:$U$1,'[1]Цех 1_Потери добычи (физ объем)'!$F$61:$U$61)</f>
        <v>885.55210241903978</v>
      </c>
      <c r="K3" s="6">
        <f>LOOKUP(K$1,'[1]Цех 1_Потери добычи (физ объем)'!$F$1:$U$1,'[1]Цех 1_Потери добычи (физ объем)'!$F$61:$U$61)</f>
        <v>904.36960241903989</v>
      </c>
      <c r="L3" s="6">
        <f>LOOKUP(L$1,'[1]Цех 1_Потери добычи (физ объем)'!$F$1:$U$1,'[1]Цех 1_Потери добычи (физ объем)'!$F$61:$U$61)</f>
        <v>904.36960241903989</v>
      </c>
      <c r="M3" s="6">
        <f>LOOKUP(M$1,'[1]Цех 1_Потери добычи (физ объем)'!$F$1:$U$1,'[1]Цех 1_Потери добычи (физ объем)'!$F$61:$U$61)</f>
        <v>947.7628905435871</v>
      </c>
      <c r="N3" s="6">
        <f>LOOKUP(N$1,'[1]Цех 1_Потери добычи (физ объем)'!$F$1:$U$1,'[1]Цех 1_Потери добычи (физ объем)'!$F$61:$U$61)</f>
        <v>947.7628905435871</v>
      </c>
      <c r="O3" s="6">
        <f>LOOKUP(O$1,'[1]Цех 1_Потери добычи (физ объем)'!$F$1:$U$1,'[1]Цех 1_Потери добычи (физ объем)'!$F$61:$U$61)</f>
        <v>947.7628905435871</v>
      </c>
      <c r="P3" s="6">
        <f>LOOKUP(P$1,'[1]Цех 1_Потери добычи (физ объем)'!$F$1:$U$1,'[1]Цех 1_Потери добычи (физ объем)'!$F$61:$U$61)</f>
        <v>947.7628905435871</v>
      </c>
      <c r="Q3" s="6">
        <f>LOOKUP(Q$1,'[1]Цех 1_Потери добычи (физ объем)'!$F$1:$U$1,'[1]Цех 1_Потери добычи (физ объем)'!$F$61:$U$61)</f>
        <v>947.7628905435871</v>
      </c>
      <c r="R3" s="5">
        <f t="shared" ref="R3:R9" si="0">SUM(B3:Q3)</f>
        <v>8573.8032625149517</v>
      </c>
      <c r="S3" s="6"/>
      <c r="T3" s="6"/>
    </row>
    <row r="4" spans="1:20">
      <c r="A4" s="9" t="s">
        <v>1</v>
      </c>
      <c r="B4" s="6">
        <f>LOOKUP(B$1,'[2]Цех 2_Потери добычи (физ объем)'!$F$1:$U$1,'[2]Цех 2_Потери добычи (физ объем)'!$F$46:$U$46)</f>
        <v>60.961896592711767</v>
      </c>
      <c r="C4" s="6">
        <f>LOOKUP(C$1,'[2]Цех 2_Потери добычи (физ объем)'!$F$1:$U$1,'[2]Цех 2_Потери добычи (физ объем)'!$F$46:$U$46)</f>
        <v>60.961896592711767</v>
      </c>
      <c r="D4" s="6">
        <f>LOOKUP(D$1,'[2]Цех 2_Потери добычи (физ объем)'!$F$1:$U$1,'[2]Цех 2_Потери добычи (физ объем)'!$F$46:$U$46)</f>
        <v>120.58189659271176</v>
      </c>
      <c r="E4" s="6">
        <f>LOOKUP(E$1,'[2]Цех 2_Потери добычи (физ объем)'!$F$1:$U$1,'[2]Цех 2_Потери добычи (физ объем)'!$F$46:$U$46)</f>
        <v>120.58189659271176</v>
      </c>
      <c r="F4" s="6">
        <f>LOOKUP(F$1,'[2]Цех 2_Потери добычи (физ объем)'!$F$1:$U$1,'[2]Цех 2_Потери добычи (физ объем)'!$F$46:$U$46)</f>
        <v>388.45189659271176</v>
      </c>
      <c r="G4" s="6">
        <f>LOOKUP(G$1,'[2]Цех 2_Потери добычи (физ объем)'!$F$1:$U$1,'[2]Цех 2_Потери добычи (физ объем)'!$F$46:$U$46)</f>
        <v>526.99856325937844</v>
      </c>
      <c r="H4" s="6">
        <f>LOOKUP(H$1,'[2]Цех 2_Потери добычи (физ объем)'!$F$1:$U$1,'[2]Цех 2_Потери добычи (физ объем)'!$F$46:$U$46)</f>
        <v>2887.2875272566266</v>
      </c>
      <c r="I4" s="6">
        <f>LOOKUP(I$1,'[2]Цех 2_Потери добычи (физ объем)'!$F$1:$U$1,'[2]Цех 2_Потери добычи (физ объем)'!$F$46:$U$46)</f>
        <v>2887.2875272566266</v>
      </c>
      <c r="J4" s="6">
        <f>LOOKUP(J$1,'[2]Цех 2_Потери добычи (физ объем)'!$F$1:$U$1,'[2]Цех 2_Потери добычи (физ объем)'!$F$46:$U$46)</f>
        <v>3142.4366585544103</v>
      </c>
      <c r="K4" s="6">
        <f>LOOKUP(K$1,'[2]Цех 2_Потери добычи (физ объем)'!$F$1:$U$1,'[2]Цех 2_Потери добычи (физ объем)'!$F$46:$U$46)</f>
        <v>3142.4366585544103</v>
      </c>
      <c r="L4" s="6">
        <f>LOOKUP(L$1,'[2]Цех 2_Потери добычи (физ объем)'!$F$1:$U$1,'[2]Цех 2_Потери добычи (физ объем)'!$F$46:$U$46)</f>
        <v>3142.4366585544103</v>
      </c>
      <c r="M4" s="6">
        <f>LOOKUP(M$1,'[2]Цех 2_Потери добычи (физ объем)'!$F$1:$U$1,'[2]Цех 2_Потери добычи (физ объем)'!$F$46:$U$46)</f>
        <v>3143.48665855441</v>
      </c>
      <c r="N4" s="6">
        <f>LOOKUP(N$1,'[2]Цех 2_Потери добычи (физ объем)'!$F$1:$U$1,'[2]Цех 2_Потери добычи (физ объем)'!$F$46:$U$46)</f>
        <v>3143.48665855441</v>
      </c>
      <c r="O4" s="6">
        <f>LOOKUP(O$1,'[2]Цех 2_Потери добычи (физ объем)'!$F$1:$U$1,'[2]Цех 2_Потери добычи (физ объем)'!$F$46:$U$46)</f>
        <v>3143.48665855441</v>
      </c>
      <c r="P4" s="6">
        <f>LOOKUP(P$1,'[2]Цех 2_Потери добычи (физ объем)'!$F$1:$U$1,'[2]Цех 2_Потери добычи (физ объем)'!$F$46:$U$46)</f>
        <v>3143.48665855441</v>
      </c>
      <c r="Q4" s="6">
        <f>LOOKUP(Q$1,'[2]Цех 2_Потери добычи (физ объем)'!$F$1:$U$1,'[2]Цех 2_Потери добычи (физ объем)'!$F$46:$U$46)</f>
        <v>3143.48665855441</v>
      </c>
      <c r="R4" s="5">
        <f t="shared" si="0"/>
        <v>32197.856369171477</v>
      </c>
      <c r="S4" s="6"/>
      <c r="T4" s="6"/>
    </row>
    <row r="5" spans="1:20">
      <c r="A5" s="9" t="s">
        <v>2</v>
      </c>
      <c r="B5" s="6">
        <f>LOOKUP(B$1,'[3]Цех 3_Потери добычи (физ объем)'!$F$1:$U$1,'[3]Цех 3_Потери добычи (физ объем)'!$F$51:$U$51)</f>
        <v>528.27731464992394</v>
      </c>
      <c r="C5" s="6">
        <f>LOOKUP(C$1,'[3]Цех 3_Потери добычи (физ объем)'!$F$1:$U$1,'[3]Цех 3_Потери добычи (физ объем)'!$F$51:$U$51)</f>
        <v>528.27731464992394</v>
      </c>
      <c r="D5" s="6">
        <f>LOOKUP(D$1,'[3]Цех 3_Потери добычи (физ объем)'!$F$1:$U$1,'[3]Цех 3_Потери добычи (физ объем)'!$F$51:$U$51)</f>
        <v>528.27731464992394</v>
      </c>
      <c r="E5" s="6">
        <f>LOOKUP(E$1,'[3]Цех 3_Потери добычи (физ объем)'!$F$1:$U$1,'[3]Цех 3_Потери добычи (физ объем)'!$F$51:$U$51)</f>
        <v>558.88592421856424</v>
      </c>
      <c r="F5" s="6">
        <f>LOOKUP(F$1,'[3]Цех 3_Потери добычи (физ объем)'!$F$1:$U$1,'[3]Цех 3_Потери добычи (физ объем)'!$F$51:$U$51)</f>
        <v>564.40831015606409</v>
      </c>
      <c r="G5" s="6">
        <f>LOOKUP(G$1,'[3]Цех 3_Потери добычи (физ объем)'!$F$1:$U$1,'[3]Цех 3_Потери добычи (физ объем)'!$F$51:$U$51)</f>
        <v>606.38135048029926</v>
      </c>
      <c r="H5" s="6">
        <f>LOOKUP(H$1,'[3]Цех 3_Потери добычи (физ объем)'!$F$1:$U$1,'[3]Цех 3_Потери добычи (физ объем)'!$F$51:$U$51)</f>
        <v>738.43921494851566</v>
      </c>
      <c r="I5" s="6">
        <f>LOOKUP(I$1,'[3]Цех 3_Потери добычи (физ объем)'!$F$1:$U$1,'[3]Цех 3_Потери добычи (физ объем)'!$F$51:$U$51)</f>
        <v>1280.8029804005073</v>
      </c>
      <c r="J5" s="6">
        <f>LOOKUP(J$1,'[3]Цех 3_Потери добычи (физ объем)'!$F$1:$U$1,'[3]Цех 3_Потери добычи (физ объем)'!$F$51:$U$51)</f>
        <v>1407.8508682771844</v>
      </c>
      <c r="K5" s="6">
        <f>LOOKUP(K$1,'[3]Цех 3_Потери добычи (физ объем)'!$F$1:$U$1,'[3]Цех 3_Потери добычи (физ объем)'!$F$51:$U$51)</f>
        <v>1421.0781043882955</v>
      </c>
      <c r="L5" s="6">
        <f>LOOKUP(L$1,'[3]Цех 3_Потери добычи (физ объем)'!$F$1:$U$1,'[3]Цех 3_Потери добычи (физ объем)'!$F$51:$U$51)</f>
        <v>1421.0781043882955</v>
      </c>
      <c r="M5" s="6">
        <f>LOOKUP(M$1,'[3]Цех 3_Потери добычи (физ объем)'!$F$1:$U$1,'[3]Цех 3_Потери добычи (физ объем)'!$F$51:$U$51)</f>
        <v>1421.0781043882955</v>
      </c>
      <c r="N5" s="6">
        <f>LOOKUP(N$1,'[3]Цех 3_Потери добычи (физ объем)'!$F$1:$U$1,'[3]Цех 3_Потери добычи (физ объем)'!$F$51:$U$51)</f>
        <v>1421.0781043882955</v>
      </c>
      <c r="O5" s="6">
        <f>LOOKUP(O$1,'[3]Цех 3_Потери добычи (физ объем)'!$F$1:$U$1,'[3]Цех 3_Потери добычи (физ объем)'!$F$51:$U$51)</f>
        <v>1421.0781043882955</v>
      </c>
      <c r="P5" s="6">
        <f>LOOKUP(P$1,'[3]Цех 3_Потери добычи (физ объем)'!$F$1:$U$1,'[3]Цех 3_Потери добычи (физ объем)'!$F$51:$U$51)</f>
        <v>1421.0781043882955</v>
      </c>
      <c r="Q5" s="6">
        <f>LOOKUP(Q$1,'[3]Цех 3_Потери добычи (физ объем)'!$F$1:$U$1,'[3]Цех 3_Потери добычи (физ объем)'!$F$51:$U$51)</f>
        <v>1421.0781043882955</v>
      </c>
      <c r="R5" s="5">
        <f t="shared" si="0"/>
        <v>16689.147323148976</v>
      </c>
      <c r="S5" s="6"/>
      <c r="T5" s="6"/>
    </row>
    <row r="6" spans="1:20">
      <c r="A6" s="9" t="s">
        <v>3</v>
      </c>
      <c r="B6" s="6">
        <f>LOOKUP(B$1,'[4]Цех 4_Потери добычи (физ объем)'!$F$1:$U$1,'[4]Цех 4_Потери добычи (физ объем)'!$F$36:$U$36)</f>
        <v>0</v>
      </c>
      <c r="C6" s="6">
        <f>LOOKUP(C$1,'[4]Цех 4_Потери добычи (физ объем)'!$F$1:$U$1,'[4]Цех 4_Потери добычи (физ объем)'!$F$36:$U$36)</f>
        <v>0</v>
      </c>
      <c r="D6" s="6">
        <f>LOOKUP(D$1,'[4]Цех 4_Потери добычи (физ объем)'!$F$1:$U$1,'[4]Цех 4_Потери добычи (физ объем)'!$F$36:$U$36)</f>
        <v>0</v>
      </c>
      <c r="E6" s="6">
        <f>LOOKUP(E$1,'[4]Цех 4_Потери добычи (физ объем)'!$F$1:$U$1,'[4]Цех 4_Потери добычи (физ объем)'!$F$36:$U$36)</f>
        <v>0</v>
      </c>
      <c r="F6" s="6">
        <f>LOOKUP(F$1,'[4]Цех 4_Потери добычи (физ объем)'!$F$1:$U$1,'[4]Цех 4_Потери добычи (физ объем)'!$F$36:$U$36)</f>
        <v>0.1095459800498355</v>
      </c>
      <c r="G6" s="6">
        <f>LOOKUP(G$1,'[4]Цех 4_Потери добычи (физ объем)'!$F$1:$U$1,'[4]Цех 4_Потери добычи (физ объем)'!$F$36:$U$36)</f>
        <v>0.219091960099671</v>
      </c>
      <c r="H6" s="6">
        <f>LOOKUP(H$1,'[4]Цех 4_Потери добычи (физ объем)'!$F$1:$U$1,'[4]Цех 4_Потери добычи (физ объем)'!$F$36:$U$36)</f>
        <v>187.47562549952892</v>
      </c>
      <c r="I6" s="6">
        <f>LOOKUP(I$1,'[4]Цех 4_Потери добычи (физ объем)'!$F$1:$U$1,'[4]Цех 4_Потери добычи (физ объем)'!$F$36:$U$36)</f>
        <v>266.33014533769733</v>
      </c>
      <c r="J6" s="6">
        <f>LOOKUP(J$1,'[4]Цех 4_Потери добычи (физ объем)'!$F$1:$U$1,'[4]Цех 4_Потери добычи (физ объем)'!$F$36:$U$36)</f>
        <v>279.2834015039835</v>
      </c>
      <c r="K6" s="6">
        <f>LOOKUP(K$1,'[4]Цех 4_Потери добычи (физ объем)'!$F$1:$U$1,'[4]Цех 4_Потери добычи (физ объем)'!$F$36:$U$36)</f>
        <v>279.45647358731679</v>
      </c>
      <c r="L6" s="6">
        <f>LOOKUP(L$1,'[4]Цех 4_Потери добычи (физ объем)'!$F$1:$U$1,'[4]Цех 4_Потери добычи (физ объем)'!$F$36:$U$36)</f>
        <v>279.45647358731679</v>
      </c>
      <c r="M6" s="6">
        <f>LOOKUP(M$1,'[4]Цех 4_Потери добычи (физ объем)'!$F$1:$U$1,'[4]Цех 4_Потери добычи (физ объем)'!$F$36:$U$36)</f>
        <v>279.65820192281694</v>
      </c>
      <c r="N6" s="6">
        <f>LOOKUP(N$1,'[4]Цех 4_Потери добычи (физ объем)'!$F$1:$U$1,'[4]Цех 4_Потери добычи (физ объем)'!$F$36:$U$36)</f>
        <v>279.65820192281694</v>
      </c>
      <c r="O6" s="6">
        <f>LOOKUP(O$1,'[4]Цех 4_Потери добычи (физ объем)'!$F$1:$U$1,'[4]Цех 4_Потери добычи (физ объем)'!$F$36:$U$36)</f>
        <v>279.65820192281694</v>
      </c>
      <c r="P6" s="6">
        <f>LOOKUP(P$1,'[4]Цех 4_Потери добычи (физ объем)'!$F$1:$U$1,'[4]Цех 4_Потери добычи (физ объем)'!$F$36:$U$36)</f>
        <v>279.65820192281694</v>
      </c>
      <c r="Q6" s="6">
        <f>LOOKUP(Q$1,'[4]Цех 4_Потери добычи (физ объем)'!$F$1:$U$1,'[4]Цех 4_Потери добычи (физ объем)'!$F$36:$U$36)</f>
        <v>279.65820192281694</v>
      </c>
      <c r="R6" s="5">
        <f t="shared" si="0"/>
        <v>2690.621767070078</v>
      </c>
      <c r="S6" s="6"/>
      <c r="T6" s="6"/>
    </row>
    <row r="7" spans="1:20">
      <c r="A7" s="9" t="s">
        <v>4</v>
      </c>
      <c r="B7" s="6">
        <f>LOOKUP(B$1,'[5]Цех 5_Потери добычи (физ объем)'!$F$1:$U$1,'[5]Цех 5_Потери добычи (физ объем)'!$F$34:$U$34)</f>
        <v>0</v>
      </c>
      <c r="C7" s="6">
        <f>LOOKUP(C$1,'[5]Цех 5_Потери добычи (физ объем)'!$F$1:$U$1,'[5]Цех 5_Потери добычи (физ объем)'!$F$34:$U$34)</f>
        <v>0</v>
      </c>
      <c r="D7" s="6">
        <f>LOOKUP(D$1,'[5]Цех 5_Потери добычи (физ объем)'!$F$1:$U$1,'[5]Цех 5_Потери добычи (физ объем)'!$F$34:$U$34)</f>
        <v>0</v>
      </c>
      <c r="E7" s="6">
        <f>LOOKUP(E$1,'[5]Цех 5_Потери добычи (физ объем)'!$F$1:$U$1,'[5]Цех 5_Потери добычи (физ объем)'!$F$34:$U$34)</f>
        <v>0</v>
      </c>
      <c r="F7" s="6">
        <f>LOOKUP(F$1,'[5]Цех 5_Потери добычи (физ объем)'!$F$1:$U$1,'[5]Цех 5_Потери добычи (физ объем)'!$F$34:$U$34)</f>
        <v>62.804833847032</v>
      </c>
      <c r="G7" s="6">
        <f>LOOKUP(G$1,'[5]Цех 5_Потери добычи (физ объем)'!$F$1:$U$1,'[5]Цех 5_Потери добычи (физ объем)'!$F$34:$U$34)</f>
        <v>345.51628046042646</v>
      </c>
      <c r="H7" s="6">
        <f>LOOKUP(H$1,'[5]Цех 5_Потери добычи (физ объем)'!$F$1:$U$1,'[5]Цех 5_Потери добычи (физ объем)'!$F$34:$U$34)</f>
        <v>593.3345585570346</v>
      </c>
      <c r="I7" s="6">
        <f>LOOKUP(I$1,'[5]Цех 5_Потери добычи (физ объем)'!$F$1:$U$1,'[5]Цех 5_Потери добычи (физ объем)'!$F$34:$U$34)</f>
        <v>734.9101557266664</v>
      </c>
      <c r="J7" s="6">
        <f>LOOKUP(J$1,'[5]Цех 5_Потери добычи (физ объем)'!$F$1:$U$1,'[5]Цех 5_Потери добычи (физ объем)'!$F$34:$U$34)</f>
        <v>853.91448242283832</v>
      </c>
      <c r="K7" s="6">
        <f>LOOKUP(K$1,'[5]Цех 5_Потери добычи (физ объем)'!$F$1:$U$1,'[5]Цех 5_Потери добычи (физ объем)'!$F$34:$U$34)</f>
        <v>853.91448242283832</v>
      </c>
      <c r="L7" s="6">
        <f>LOOKUP(L$1,'[5]Цех 5_Потери добычи (физ объем)'!$F$1:$U$1,'[5]Цех 5_Потери добычи (физ объем)'!$F$34:$U$34)</f>
        <v>853.91448242283832</v>
      </c>
      <c r="M7" s="6">
        <f>LOOKUP(M$1,'[5]Цех 5_Потери добычи (физ объем)'!$F$1:$U$1,'[5]Цех 5_Потери добычи (физ объем)'!$F$34:$U$34)</f>
        <v>853.91448242283832</v>
      </c>
      <c r="N7" s="6">
        <f>LOOKUP(N$1,'[5]Цех 5_Потери добычи (физ объем)'!$F$1:$U$1,'[5]Цех 5_Потери добычи (физ объем)'!$F$34:$U$34)</f>
        <v>853.91448242283832</v>
      </c>
      <c r="O7" s="6">
        <f>LOOKUP(O$1,'[5]Цех 5_Потери добычи (физ объем)'!$F$1:$U$1,'[5]Цех 5_Потери добычи (физ объем)'!$F$34:$U$34)</f>
        <v>853.91448242283832</v>
      </c>
      <c r="P7" s="6">
        <f>LOOKUP(P$1,'[5]Цех 5_Потери добычи (физ объем)'!$F$1:$U$1,'[5]Цех 5_Потери добычи (физ объем)'!$F$34:$U$34)</f>
        <v>853.91448242283832</v>
      </c>
      <c r="Q7" s="6">
        <f>LOOKUP(Q$1,'[5]Цех 5_Потери добычи (физ объем)'!$F$1:$U$1,'[5]Цех 5_Потери добычи (физ объем)'!$F$34:$U$34)</f>
        <v>853.91448242283832</v>
      </c>
      <c r="R7" s="5">
        <f t="shared" si="0"/>
        <v>8567.8816879738679</v>
      </c>
      <c r="S7" s="6"/>
      <c r="T7" s="6"/>
    </row>
    <row r="8" spans="1:20">
      <c r="A8" s="9" t="s">
        <v>5</v>
      </c>
      <c r="B8" s="6">
        <f>LOOKUP(B$1,'[6]Цех 6_Потери добычи (физ объем)'!$F$1:$U$1,'[6]Цех 6_Потери добычи (физ объем)'!$F$27:$U$27)</f>
        <v>34.756566210045662</v>
      </c>
      <c r="C8" s="6">
        <f>LOOKUP(C$1,'[6]Цех 6_Потери добычи (физ объем)'!$F$1:$U$1,'[6]Цех 6_Потери добычи (физ объем)'!$F$27:$U$27)</f>
        <v>34.756566210045662</v>
      </c>
      <c r="D8" s="6">
        <f>LOOKUP(D$1,'[6]Цех 6_Потери добычи (физ объем)'!$F$1:$U$1,'[6]Цех 6_Потери добычи (физ объем)'!$F$27:$U$27)</f>
        <v>34.756566210045662</v>
      </c>
      <c r="E8" s="6">
        <f>LOOKUP(E$1,'[6]Цех 6_Потери добычи (физ объем)'!$F$1:$U$1,'[6]Цех 6_Потери добычи (физ объем)'!$F$27:$U$27)</f>
        <v>59.644236757990861</v>
      </c>
      <c r="F8" s="6">
        <f>LOOKUP(F$1,'[6]Цех 6_Потери добычи (физ объем)'!$F$1:$U$1,'[6]Цех 6_Потери добычи (физ объем)'!$F$27:$U$27)</f>
        <v>59.644236757990861</v>
      </c>
      <c r="G8" s="6">
        <f>LOOKUP(G$1,'[6]Цех 6_Потери добычи (физ объем)'!$F$1:$U$1,'[6]Цех 6_Потери добычи (физ объем)'!$F$27:$U$27)</f>
        <v>115.89551278538816</v>
      </c>
      <c r="H8" s="6">
        <f>LOOKUP(H$1,'[6]Цех 6_Потери добычи (физ объем)'!$F$1:$U$1,'[6]Цех 6_Потери добычи (физ объем)'!$F$27:$U$27)</f>
        <v>288.41773388994062</v>
      </c>
      <c r="I8" s="6">
        <f>LOOKUP(I$1,'[6]Цех 6_Потери добычи (физ объем)'!$F$1:$U$1,'[6]Цех 6_Потери добычи (физ объем)'!$F$27:$U$27)</f>
        <v>398.09921448354766</v>
      </c>
      <c r="J8" s="6">
        <f>LOOKUP(J$1,'[6]Цех 6_Потери добычи (физ объем)'!$F$1:$U$1,'[6]Цех 6_Потери добычи (физ объем)'!$F$27:$U$27)</f>
        <v>398.09921448354766</v>
      </c>
      <c r="K8" s="6">
        <f>LOOKUP(K$1,'[6]Цех 6_Потери добычи (физ объем)'!$F$1:$U$1,'[6]Цех 6_Потери добычи (физ объем)'!$F$27:$U$27)</f>
        <v>449.10065710150809</v>
      </c>
      <c r="L8" s="6">
        <f>LOOKUP(L$1,'[6]Цех 6_Потери добычи (физ объем)'!$F$1:$U$1,'[6]Цех 6_Потери добычи (физ объем)'!$F$27:$U$27)</f>
        <v>449.10065710150809</v>
      </c>
      <c r="M8" s="6">
        <f>LOOKUP(M$1,'[6]Цех 6_Потери добычи (физ объем)'!$F$1:$U$1,'[6]Цех 6_Потери добычи (физ объем)'!$F$27:$U$27)</f>
        <v>462.02271591048833</v>
      </c>
      <c r="N8" s="6">
        <f>LOOKUP(N$1,'[6]Цех 6_Потери добычи (физ объем)'!$F$1:$U$1,'[6]Цех 6_Потери добычи (физ объем)'!$F$27:$U$27)</f>
        <v>462.02271591048833</v>
      </c>
      <c r="O8" s="6">
        <f>LOOKUP(O$1,'[6]Цех 6_Потери добычи (физ объем)'!$F$1:$U$1,'[6]Цех 6_Потери добычи (физ объем)'!$F$27:$U$27)</f>
        <v>462.02271591048833</v>
      </c>
      <c r="P8" s="6">
        <f>LOOKUP(P$1,'[6]Цех 6_Потери добычи (физ объем)'!$F$1:$U$1,'[6]Цех 6_Потери добычи (физ объем)'!$F$27:$U$27)</f>
        <v>462.02271591048833</v>
      </c>
      <c r="Q8" s="6">
        <f>LOOKUP(Q$1,'[6]Цех 6_Потери добычи (физ объем)'!$F$1:$U$1,'[6]Цех 6_Потери добычи (физ объем)'!$F$27:$U$27)</f>
        <v>462.02271591048833</v>
      </c>
      <c r="R8" s="5">
        <f t="shared" si="0"/>
        <v>4632.3847415440005</v>
      </c>
      <c r="S8" s="6"/>
      <c r="T8" s="6"/>
    </row>
    <row r="9" spans="1:20">
      <c r="A9" s="10" t="s">
        <v>6</v>
      </c>
      <c r="B9" s="5">
        <f>SUM(B3:B8)</f>
        <v>627.59878328124046</v>
      </c>
      <c r="C9" s="5">
        <f>SUM(C3:C8)</f>
        <v>627.59878328124046</v>
      </c>
      <c r="D9" s="5">
        <f t="shared" ref="D9:Q9" si="1">SUM(D3:D8)</f>
        <v>687.21878328124046</v>
      </c>
      <c r="E9" s="5">
        <f t="shared" si="1"/>
        <v>751.99536307368919</v>
      </c>
      <c r="F9" s="5">
        <f t="shared" si="1"/>
        <v>1139.9731084623413</v>
      </c>
      <c r="G9" s="5">
        <f t="shared" si="1"/>
        <v>1665.2903123124861</v>
      </c>
      <c r="H9" s="5">
        <f t="shared" si="1"/>
        <v>4912.9058111163358</v>
      </c>
      <c r="I9" s="5">
        <f t="shared" si="1"/>
        <v>6331.650253294767</v>
      </c>
      <c r="J9" s="5">
        <f t="shared" si="1"/>
        <v>6967.1367276610035</v>
      </c>
      <c r="K9" s="5">
        <f t="shared" si="1"/>
        <v>7050.355978473408</v>
      </c>
      <c r="L9" s="5">
        <f t="shared" si="1"/>
        <v>7050.355978473408</v>
      </c>
      <c r="M9" s="5">
        <f t="shared" si="1"/>
        <v>7107.9230537424364</v>
      </c>
      <c r="N9" s="5">
        <f t="shared" si="1"/>
        <v>7107.9230537424364</v>
      </c>
      <c r="O9" s="5">
        <f t="shared" si="1"/>
        <v>7107.9230537424364</v>
      </c>
      <c r="P9" s="5">
        <f t="shared" si="1"/>
        <v>7107.9230537424364</v>
      </c>
      <c r="Q9" s="5">
        <f t="shared" si="1"/>
        <v>7107.9230537424364</v>
      </c>
      <c r="R9" s="5">
        <f t="shared" si="0"/>
        <v>73351.695151423337</v>
      </c>
      <c r="S9" s="6"/>
      <c r="T9" s="6"/>
    </row>
    <row r="10" spans="1:20" s="7" customFormat="1">
      <c r="A10" s="7" t="s">
        <v>9</v>
      </c>
    </row>
    <row r="11" spans="1:20">
      <c r="A11" s="9" t="s">
        <v>0</v>
      </c>
      <c r="B11" s="6">
        <f>LOOKUP(B$1,'[1]Цех 1_Потери добычи'!$F$1:$U$1,'[1]Цех 1_Потери добычи'!$F$61:$U$61)</f>
        <v>32.300766142195393</v>
      </c>
      <c r="C11" s="6">
        <f>LOOKUP(C$1,'[1]Цех 1_Потери добычи'!$F$1:$U$1,'[1]Цех 1_Потери добычи'!$F$61:$U$61)</f>
        <v>34.165201096204797</v>
      </c>
      <c r="D11" s="6">
        <f>LOOKUP(D$1,'[1]Цех 1_Потери добычи'!$F$1:$U$1,'[1]Цех 1_Потери добычи'!$F$61:$U$61)</f>
        <v>36.375133429635838</v>
      </c>
      <c r="E11" s="6">
        <f>LOOKUP(E$1,'[1]Цех 1_Потери добычи'!$F$1:$U$1,'[1]Цех 1_Потери добычи'!$F$61:$U$61)</f>
        <v>130.06694383437684</v>
      </c>
      <c r="F11" s="6">
        <f>LOOKUP(F$1,'[1]Цех 1_Потери добычи'!$F$1:$U$1,'[1]Цех 1_Потери добычи'!$F$61:$U$61)</f>
        <v>651.72548886571053</v>
      </c>
      <c r="G11" s="6">
        <f>LOOKUP(G$1,'[1]Цех 1_Потери добычи'!$F$1:$U$1,'[1]Цех 1_Потери добычи'!$F$61:$U$61)</f>
        <v>709.5261006316548</v>
      </c>
      <c r="H11" s="6">
        <f>LOOKUP(H$1,'[1]Цех 1_Потери добычи'!$F$1:$U$1,'[1]Цех 1_Потери добычи'!$F$61:$U$61)</f>
        <v>2200.3856154331693</v>
      </c>
      <c r="I11" s="6">
        <f>LOOKUP(I$1,'[1]Цех 1_Потери добычи'!$F$1:$U$1,'[1]Цех 1_Потери добычи'!$F$61:$U$61)</f>
        <v>7715.3949124356068</v>
      </c>
      <c r="J11" s="6">
        <f>LOOKUP(J$1,'[1]Цех 1_Потери добычи'!$F$1:$U$1,'[1]Цех 1_Потери добычи'!$F$61:$U$61)</f>
        <v>8940.3341035585654</v>
      </c>
      <c r="K11" s="6">
        <f>LOOKUP(K$1,'[1]Цех 1_Потери добычи'!$F$1:$U$1,'[1]Цех 1_Потери добычи'!$F$61:$U$61)</f>
        <v>9130.311335315062</v>
      </c>
      <c r="L11" s="6">
        <f>LOOKUP(L$1,'[1]Цех 1_Потери добычи'!$F$1:$U$1,'[1]Цех 1_Потери добычи'!$F$61:$U$61)</f>
        <v>6023.0252931788827</v>
      </c>
      <c r="M11" s="6">
        <f>LOOKUP(M$1,'[1]Цех 1_Потери добычи'!$F$1:$U$1,'[1]Цех 1_Потери добычи'!$F$61:$U$61)</f>
        <v>6312.0209330469797</v>
      </c>
      <c r="N11" s="6">
        <f>LOOKUP(N$1,'[1]Цех 1_Потери добычи'!$F$1:$U$1,'[1]Цех 1_Потери добычи'!$F$61:$U$61)</f>
        <v>6312.0209330469797</v>
      </c>
      <c r="O11" s="6">
        <f>LOOKUP(O$1,'[1]Цех 1_Потери добычи'!$F$1:$U$1,'[1]Цех 1_Потери добычи'!$F$61:$U$61)</f>
        <v>6312.0209330469797</v>
      </c>
      <c r="P11" s="6">
        <f>LOOKUP(P$1,'[1]Цех 1_Потери добычи'!$F$1:$U$1,'[1]Цех 1_Потери добычи'!$F$61:$U$61)</f>
        <v>6312.0209330469797</v>
      </c>
      <c r="Q11" s="6">
        <f>LOOKUP(Q$1,'[1]Цех 1_Потери добычи'!$F$1:$U$1,'[1]Цех 1_Потери добычи'!$F$61:$U$61)</f>
        <v>6312.0209330469797</v>
      </c>
      <c r="R11" s="5">
        <f>SUM(B11:Q11)</f>
        <v>67163.715559155971</v>
      </c>
      <c r="S11" s="6"/>
      <c r="T11" s="6"/>
    </row>
    <row r="12" spans="1:20">
      <c r="A12" s="9" t="s">
        <v>1</v>
      </c>
      <c r="B12" s="6">
        <f>LOOKUP(B$1,'[2]Цех 2_Потери добычи'!$F$1:$U$1,'[2]Цех 2_Потери добычи'!$F$46:$U$46)</f>
        <v>546.52033860665938</v>
      </c>
      <c r="C12" s="6">
        <f>LOOKUP(C$1,'[2]Цех 2_Потери добычи'!$F$1:$U$1,'[2]Цех 2_Потери добычи'!$F$46:$U$46)</f>
        <v>578.06608021197144</v>
      </c>
      <c r="D12" s="6">
        <f>LOOKUP(D$1,'[2]Цех 2_Потери добычи'!$F$1:$U$1,'[2]Цех 2_Потери добычи'!$F$46:$U$46)</f>
        <v>1217.3676054008938</v>
      </c>
      <c r="E12" s="6">
        <f>LOOKUP(E$1,'[2]Цех 2_Потери добычи'!$F$1:$U$1,'[2]Цех 2_Потери добычи'!$F$46:$U$46)</f>
        <v>1217.3676054008938</v>
      </c>
      <c r="F12" s="6">
        <f>LOOKUP(F$1,'[2]Цех 2_Потери добычи'!$F$1:$U$1,'[2]Цех 2_Потери добычи'!$F$46:$U$46)</f>
        <v>3921.7226510027176</v>
      </c>
      <c r="G12" s="6">
        <f>LOOKUP(G$1,'[2]Цех 2_Потери добычи'!$F$1:$U$1,'[2]Цех 2_Потери добычи'!$F$46:$U$46)</f>
        <v>5320.4585193392759</v>
      </c>
      <c r="H12" s="6">
        <f>LOOKUP(H$1,'[2]Цех 2_Потери добычи'!$F$1:$U$1,'[2]Цех 2_Потери добычи'!$F$46:$U$46)</f>
        <v>29149.403040428824</v>
      </c>
      <c r="I12" s="6">
        <f>LOOKUP(I$1,'[2]Цех 2_Потери добычи'!$F$1:$U$1,'[2]Цех 2_Потери добычи'!$F$46:$U$46)</f>
        <v>29149.403040428824</v>
      </c>
      <c r="J12" s="6">
        <f>LOOKUP(J$1,'[2]Цех 2_Потери добычи'!$F$1:$U$1,'[2]Цех 2_Потери добычи'!$F$46:$U$46)</f>
        <v>31725.331067479572</v>
      </c>
      <c r="K12" s="6">
        <f>LOOKUP(K$1,'[2]Цех 2_Потери добычи'!$F$1:$U$1,'[2]Цех 2_Потери добычи'!$F$46:$U$46)</f>
        <v>31725.331067479572</v>
      </c>
      <c r="L12" s="6">
        <f>LOOKUP(L$1,'[2]Цех 2_Потери добычи'!$F$1:$U$1,'[2]Цех 2_Потери добычи'!$F$46:$U$46)</f>
        <v>20928.363167071515</v>
      </c>
      <c r="M12" s="6">
        <f>LOOKUP(M$1,'[2]Цех 2_Потери добычи'!$F$1:$U$1,'[2]Цех 2_Потери добычи'!$F$46:$U$46)</f>
        <v>20935.35607853263</v>
      </c>
      <c r="N12" s="6">
        <f>LOOKUP(N$1,'[2]Цех 2_Потери добычи'!$F$1:$U$1,'[2]Цех 2_Потери добычи'!$F$46:$U$46)</f>
        <v>20935.35607853263</v>
      </c>
      <c r="O12" s="6">
        <f>LOOKUP(O$1,'[2]Цех 2_Потери добычи'!$F$1:$U$1,'[2]Цех 2_Потери добычи'!$F$46:$U$46)</f>
        <v>20935.35607853263</v>
      </c>
      <c r="P12" s="6">
        <f>LOOKUP(P$1,'[2]Цех 2_Потери добычи'!$F$1:$U$1,'[2]Цех 2_Потери добычи'!$F$46:$U$46)</f>
        <v>20935.35607853263</v>
      </c>
      <c r="Q12" s="6">
        <f>LOOKUP(Q$1,'[2]Цех 2_Потери добычи'!$F$1:$U$1,'[2]Цех 2_Потери добычи'!$F$46:$U$46)</f>
        <v>20935.35607853263</v>
      </c>
      <c r="R12" s="5">
        <f t="shared" ref="R12:R17" si="2">SUM(B12:Q12)</f>
        <v>260156.1145755139</v>
      </c>
      <c r="S12" s="6"/>
      <c r="T12" s="6"/>
    </row>
    <row r="13" spans="1:20">
      <c r="A13" s="9" t="s">
        <v>2</v>
      </c>
      <c r="B13" s="6">
        <f>LOOKUP(B$1,'[3]Цех 3_Потери добычи'!$F$1:$U$1,'[3]Цех 3_Потери добычи'!$F$51:$U$51)</f>
        <v>4735.9795711344395</v>
      </c>
      <c r="C13" s="6">
        <f>LOOKUP(C$1,'[3]Цех 3_Потери добычи'!$F$1:$U$1,'[3]Цех 3_Потери добычи'!$F$51:$U$51)</f>
        <v>5009.3454044718328</v>
      </c>
      <c r="D13" s="6">
        <f>LOOKUP(D$1,'[3]Цех 3_Потери добычи'!$F$1:$U$1,'[3]Цех 3_Потери добычи'!$F$51:$U$51)</f>
        <v>5333.3685046869887</v>
      </c>
      <c r="E13" s="6">
        <f>LOOKUP(E$1,'[3]Цех 3_Потери добычи'!$F$1:$U$1,'[3]Цех 3_Потери добычи'!$F$51:$U$51)</f>
        <v>5642.3861166846318</v>
      </c>
      <c r="F13" s="6">
        <f>LOOKUP(F$1,'[3]Цех 3_Потери добычи'!$F$1:$U$1,'[3]Цех 3_Потери добычи'!$F$51:$U$51)</f>
        <v>5698.1388783744014</v>
      </c>
      <c r="G13" s="6">
        <f>LOOKUP(G$1,'[3]Цех 3_Потери добычи'!$F$1:$U$1,'[3]Цех 3_Потери добычи'!$F$51:$U$51)</f>
        <v>6121.8892176438021</v>
      </c>
      <c r="H13" s="6">
        <f>LOOKUP(H$1,'[3]Цех 3_Потери добычи'!$F$1:$U$1,'[3]Цех 3_Потери добычи'!$F$51:$U$51)</f>
        <v>7455.1156038984145</v>
      </c>
      <c r="I13" s="6">
        <f>LOOKUP(I$1,'[3]Цех 3_Потери добычи'!$F$1:$U$1,'[3]Цех 3_Потери добычи'!$F$51:$U$51)</f>
        <v>12930.697735722422</v>
      </c>
      <c r="J13" s="6">
        <f>LOOKUP(J$1,'[3]Цех 3_Потери добычи'!$F$1:$U$1,'[3]Цех 3_Потери добычи'!$F$51:$U$51)</f>
        <v>14213.344529362425</v>
      </c>
      <c r="K13" s="6">
        <f>LOOKUP(K$1,'[3]Цех 3_Потери добычи'!$F$1:$U$1,'[3]Цех 3_Потери добычи'!$F$51:$U$51)</f>
        <v>14346.883718956069</v>
      </c>
      <c r="L13" s="6">
        <f>LOOKUP(L$1,'[3]Цех 3_Потери добычи'!$F$1:$U$1,'[3]Цех 3_Потери добычи'!$F$51:$U$51)</f>
        <v>9464.2603460122755</v>
      </c>
      <c r="M13" s="6">
        <f>LOOKUP(M$1,'[3]Цех 3_Потери добычи'!$F$1:$U$1,'[3]Цех 3_Потери добычи'!$F$51:$U$51)</f>
        <v>9464.2603460122755</v>
      </c>
      <c r="N13" s="6">
        <f>LOOKUP(N$1,'[3]Цех 3_Потери добычи'!$F$1:$U$1,'[3]Цех 3_Потери добычи'!$F$51:$U$51)</f>
        <v>9464.2603460122755</v>
      </c>
      <c r="O13" s="6">
        <f>LOOKUP(O$1,'[3]Цех 3_Потери добычи'!$F$1:$U$1,'[3]Цех 3_Потери добычи'!$F$51:$U$51)</f>
        <v>9464.2603460122755</v>
      </c>
      <c r="P13" s="6">
        <f>LOOKUP(P$1,'[3]Цех 3_Потери добычи'!$F$1:$U$1,'[3]Цех 3_Потери добычи'!$F$51:$U$51)</f>
        <v>9464.2603460122755</v>
      </c>
      <c r="Q13" s="6">
        <f>LOOKUP(Q$1,'[3]Цех 3_Потери добычи'!$F$1:$U$1,'[3]Цех 3_Потери добычи'!$F$51:$U$51)</f>
        <v>9464.2603460122755</v>
      </c>
      <c r="R13" s="5">
        <f t="shared" si="2"/>
        <v>138272.71135700907</v>
      </c>
      <c r="S13" s="6"/>
      <c r="T13" s="6"/>
    </row>
    <row r="14" spans="1:20">
      <c r="A14" s="9" t="s">
        <v>3</v>
      </c>
      <c r="B14" s="6">
        <f>LOOKUP(B$1,'[4]Цех 4_Потери добычи'!$F$1:$U$1,'[4]Цех 4_Потери добычи'!$F$36:$U$36)</f>
        <v>0</v>
      </c>
      <c r="C14" s="6">
        <f>LOOKUP(C$1,'[4]Цех 4_Потери добычи'!$F$1:$U$1,'[4]Цех 4_Потери добычи'!$F$36:$U$36)</f>
        <v>0</v>
      </c>
      <c r="D14" s="6">
        <f>LOOKUP(D$1,'[4]Цех 4_Потери добычи'!$F$1:$U$1,'[4]Цех 4_Потери добычи'!$F$36:$U$36)</f>
        <v>0</v>
      </c>
      <c r="E14" s="6">
        <f>LOOKUP(E$1,'[4]Цех 4_Потери добычи'!$F$1:$U$1,'[4]Цех 4_Потери добычи'!$F$36:$U$36)</f>
        <v>0</v>
      </c>
      <c r="F14" s="6">
        <f>LOOKUP(F$1,'[4]Цех 4_Потери добычи'!$F$1:$U$1,'[4]Цех 4_Потери добычи'!$F$36:$U$36)</f>
        <v>1.1059514834552928</v>
      </c>
      <c r="G14" s="6">
        <f>LOOKUP(G$1,'[4]Цех 4_Потери добычи'!$F$1:$U$1,'[4]Цех 4_Потери добычи'!$F$36:$U$36)</f>
        <v>2.2119029669105856</v>
      </c>
      <c r="H14" s="6">
        <f>LOOKUP(H$1,'[4]Цех 4_Потери добычи'!$F$1:$U$1,'[4]Цех 4_Потери добычи'!$F$36:$U$36)</f>
        <v>1892.7115904991556</v>
      </c>
      <c r="I14" s="6">
        <f>LOOKUP(I$1,'[4]Цех 4_Потери добычи'!$F$1:$U$1,'[4]Цех 4_Потери добычи'!$F$36:$U$36)</f>
        <v>2688.8090205691892</v>
      </c>
      <c r="J14" s="6">
        <f>LOOKUP(J$1,'[4]Цех 4_Потери добычи'!$F$1:$U$1,'[4]Цех 4_Потери добычи'!$F$36:$U$36)</f>
        <v>2819.5821704936634</v>
      </c>
      <c r="K14" s="6">
        <f>LOOKUP(K$1,'[4]Цех 4_Потери добычи'!$F$1:$U$1,'[4]Цех 4_Потери добычи'!$F$36:$U$36)</f>
        <v>2821.3294671741996</v>
      </c>
      <c r="L14" s="6">
        <f>LOOKUP(L$1,'[4]Цех 4_Потери добычи'!$F$1:$U$1,'[4]Цех 4_Потери добычи'!$F$36:$U$36)</f>
        <v>1861.1565495531624</v>
      </c>
      <c r="M14" s="6">
        <f>LOOKUP(M$1,'[4]Цех 4_Потери добычи'!$F$1:$U$1,'[4]Цех 4_Потери добычи'!$F$36:$U$36)</f>
        <v>1862.5000432573052</v>
      </c>
      <c r="N14" s="6">
        <f>LOOKUP(N$1,'[4]Цех 4_Потери добычи'!$F$1:$U$1,'[4]Цех 4_Потери добычи'!$F$36:$U$36)</f>
        <v>1862.5000432573052</v>
      </c>
      <c r="O14" s="6">
        <f>LOOKUP(O$1,'[4]Цех 4_Потери добычи'!$F$1:$U$1,'[4]Цех 4_Потери добычи'!$F$36:$U$36)</f>
        <v>1862.5000432573052</v>
      </c>
      <c r="P14" s="6">
        <f>LOOKUP(P$1,'[4]Цех 4_Потери добычи'!$F$1:$U$1,'[4]Цех 4_Потери добычи'!$F$36:$U$36)</f>
        <v>1862.5000432573052</v>
      </c>
      <c r="Q14" s="6">
        <f>LOOKUP(Q$1,'[4]Цех 4_Потери добычи'!$F$1:$U$1,'[4]Цех 4_Потери добычи'!$F$36:$U$36)</f>
        <v>1862.5000432573052</v>
      </c>
      <c r="R14" s="5">
        <f t="shared" si="2"/>
        <v>21399.406869026265</v>
      </c>
      <c r="S14" s="6"/>
      <c r="T14" s="6"/>
    </row>
    <row r="15" spans="1:20">
      <c r="A15" s="9" t="s">
        <v>4</v>
      </c>
      <c r="B15" s="6">
        <f>LOOKUP(B$1,'[5]Цех 5_Потери добычи'!$F$1:$U$1,'[5]Цех 5_Потери добычи'!$F$34:$U$34)</f>
        <v>0</v>
      </c>
      <c r="C15" s="6">
        <f>LOOKUP(C$1,'[5]Цех 5_Потери добычи'!$F$1:$U$1,'[5]Цех 5_Потери добычи'!$F$34:$U$34)</f>
        <v>0</v>
      </c>
      <c r="D15" s="6">
        <f>LOOKUP(D$1,'[5]Цех 5_Потери добычи'!$F$1:$U$1,'[5]Цех 5_Потери добычи'!$F$34:$U$34)</f>
        <v>0</v>
      </c>
      <c r="E15" s="6">
        <f>LOOKUP(E$1,'[5]Цех 5_Потери добычи'!$F$1:$U$1,'[5]Цех 5_Потери добычи'!$F$34:$U$34)</f>
        <v>0</v>
      </c>
      <c r="F15" s="6">
        <f>LOOKUP(F$1,'[5]Цех 5_Потери добычи'!$F$1:$U$1,'[5]Цех 5_Потери добычи'!$F$34:$U$34)</f>
        <v>634.06342368464243</v>
      </c>
      <c r="G15" s="6">
        <f>LOOKUP(G$1,'[5]Цех 5_Потери добычи'!$F$1:$U$1,'[5]Цех 5_Потери добычи'!$F$34:$U$34)</f>
        <v>3488.2543636865985</v>
      </c>
      <c r="H15" s="6">
        <f>LOOKUP(H$1,'[5]Цех 5_Потери добычи'!$F$1:$U$1,'[5]Цех 5_Потери добычи'!$F$34:$U$34)</f>
        <v>5990.1717518335281</v>
      </c>
      <c r="I15" s="6">
        <f>LOOKUP(I$1,'[5]Цех 5_Потери добычи'!$F$1:$U$1,'[5]Цех 5_Потери добычи'!$F$34:$U$34)</f>
        <v>7419.4870187159158</v>
      </c>
      <c r="J15" s="6">
        <f>LOOKUP(J$1,'[5]Цех 5_Потери добычи'!$F$1:$U$1,'[5]Цех 5_Потери добычи'!$F$34:$U$34)</f>
        <v>8620.9278345939165</v>
      </c>
      <c r="K15" s="6">
        <f>LOOKUP(K$1,'[5]Цех 5_Потери добычи'!$F$1:$U$1,'[5]Цех 5_Потери добычи'!$F$34:$U$34)</f>
        <v>8620.9278345939165</v>
      </c>
      <c r="L15" s="6">
        <f>LOOKUP(L$1,'[5]Цех 5_Потери добычи'!$F$1:$U$1,'[5]Цех 5_Потери добычи'!$F$34:$U$34)</f>
        <v>5686.9984485186524</v>
      </c>
      <c r="M15" s="6">
        <f>LOOKUP(M$1,'[5]Цех 5_Потери добычи'!$F$1:$U$1,'[5]Цех 5_Потери добычи'!$F$34:$U$34)</f>
        <v>5686.9984485186524</v>
      </c>
      <c r="N15" s="6">
        <f>LOOKUP(N$1,'[5]Цех 5_Потери добычи'!$F$1:$U$1,'[5]Цех 5_Потери добычи'!$F$34:$U$34)</f>
        <v>5686.9984485186524</v>
      </c>
      <c r="O15" s="6">
        <f>LOOKUP(O$1,'[5]Цех 5_Потери добычи'!$F$1:$U$1,'[5]Цех 5_Потери добычи'!$F$34:$U$34)</f>
        <v>5686.9984485186524</v>
      </c>
      <c r="P15" s="6">
        <f>LOOKUP(P$1,'[5]Цех 5_Потери добычи'!$F$1:$U$1,'[5]Цех 5_Потери добычи'!$F$34:$U$34)</f>
        <v>5686.9984485186524</v>
      </c>
      <c r="Q15" s="6">
        <f>LOOKUP(Q$1,'[5]Цех 5_Потери добычи'!$F$1:$U$1,'[5]Цех 5_Потери добычи'!$F$34:$U$34)</f>
        <v>5686.9984485186524</v>
      </c>
      <c r="R15" s="5">
        <f t="shared" si="2"/>
        <v>68895.822918220423</v>
      </c>
      <c r="S15" s="6"/>
      <c r="T15" s="6"/>
    </row>
    <row r="16" spans="1:20">
      <c r="A16" s="9" t="s">
        <v>5</v>
      </c>
      <c r="B16" s="6">
        <f>LOOKUP(B$1,'[6]Цех 6_Потери добычи'!$F$1:$U$1,'[6]Цех 6_Потери добычи'!$F$27:$U$27)</f>
        <v>311.59086897880201</v>
      </c>
      <c r="C16" s="6">
        <f>LOOKUP(C$1,'[6]Цех 6_Потери добычи'!$F$1:$U$1,'[6]Цех 6_Потери добычи'!$F$27:$U$27)</f>
        <v>329.57622898285905</v>
      </c>
      <c r="D16" s="6">
        <f>LOOKUP(D$1,'[6]Цех 6_Потери добычи'!$F$1:$U$1,'[6]Цех 6_Потери добычи'!$F$27:$U$27)</f>
        <v>350.89444580554311</v>
      </c>
      <c r="E16" s="6">
        <f>LOOKUP(E$1,'[6]Цех 6_Потери добычи'!$F$1:$U$1,'[6]Цех 6_Потери добычи'!$F$27:$U$27)</f>
        <v>602.15474901087214</v>
      </c>
      <c r="F16" s="6">
        <f>LOOKUP(F$1,'[6]Цех 6_Потери добычи'!$F$1:$U$1,'[6]Цех 6_Потери добычи'!$F$27:$U$27)</f>
        <v>602.15474901087214</v>
      </c>
      <c r="G16" s="6">
        <f>LOOKUP(G$1,'[6]Цех 6_Потери добычи'!$F$1:$U$1,'[6]Цех 6_Потери добычи'!$F$27:$U$27)</f>
        <v>1170.0549324813346</v>
      </c>
      <c r="H16" s="6">
        <f>LOOKUP(H$1,'[6]Цех 6_Потери добычи'!$F$1:$U$1,'[6]Цех 6_Потери добычи'!$F$27:$U$27)</f>
        <v>2911.800328093123</v>
      </c>
      <c r="I16" s="6">
        <f>LOOKUP(I$1,'[6]Цех 6_Потери добычи'!$F$1:$U$1,'[6]Цех 6_Потери добычи'!$F$27:$U$27)</f>
        <v>4019.1197944476962</v>
      </c>
      <c r="J16" s="6">
        <f>LOOKUP(J$1,'[6]Цех 6_Потери добычи'!$F$1:$U$1,'[6]Цех 6_Потери добычи'!$F$27:$U$27)</f>
        <v>4019.1197944476962</v>
      </c>
      <c r="K16" s="6">
        <f>LOOKUP(K$1,'[6]Цех 6_Потери добычи'!$F$1:$U$1,'[6]Цех 6_Потери добычи'!$F$27:$U$27)</f>
        <v>4534.0188450201867</v>
      </c>
      <c r="L16" s="6">
        <f>LOOKUP(L$1,'[6]Цех 6_Потери добычи'!$F$1:$U$1,'[6]Цех 6_Потери добычи'!$F$27:$U$27)</f>
        <v>2990.9725068935941</v>
      </c>
      <c r="M16" s="6">
        <f>LOOKUP(M$1,'[6]Цех 6_Потери добычи'!$F$1:$U$1,'[6]Цех 6_Потери добычи'!$F$27:$U$27)</f>
        <v>3077.0323289378671</v>
      </c>
      <c r="N16" s="6">
        <f>LOOKUP(N$1,'[6]Цех 6_Потери добычи'!$F$1:$U$1,'[6]Цех 6_Потери добычи'!$F$27:$U$27)</f>
        <v>3077.0323289378671</v>
      </c>
      <c r="O16" s="6">
        <f>LOOKUP(O$1,'[6]Цех 6_Потери добычи'!$F$1:$U$1,'[6]Цех 6_Потери добычи'!$F$27:$U$27)</f>
        <v>3077.0323289378671</v>
      </c>
      <c r="P16" s="6">
        <f>LOOKUP(P$1,'[6]Цех 6_Потери добычи'!$F$1:$U$1,'[6]Цех 6_Потери добычи'!$F$27:$U$27)</f>
        <v>3077.0323289378671</v>
      </c>
      <c r="Q16" s="6">
        <f>LOOKUP(Q$1,'[6]Цех 6_Потери добычи'!$F$1:$U$1,'[6]Цех 6_Потери добычи'!$F$27:$U$27)</f>
        <v>3077.0323289378671</v>
      </c>
      <c r="R16" s="5">
        <f t="shared" si="2"/>
        <v>37226.618887861914</v>
      </c>
      <c r="S16" s="6"/>
      <c r="T16" s="6"/>
    </row>
    <row r="17" spans="1:20" s="2" customFormat="1">
      <c r="A17" s="10" t="s">
        <v>6</v>
      </c>
      <c r="B17" s="5">
        <f>SUM(B11:B16)</f>
        <v>5626.3915448620965</v>
      </c>
      <c r="C17" s="5">
        <f t="shared" ref="C17:Q17" si="3">SUM(C11:C16)</f>
        <v>5951.152914762868</v>
      </c>
      <c r="D17" s="5">
        <f t="shared" si="3"/>
        <v>6938.0056893230612</v>
      </c>
      <c r="E17" s="5">
        <f t="shared" si="3"/>
        <v>7591.9754149307746</v>
      </c>
      <c r="F17" s="5">
        <f t="shared" si="3"/>
        <v>11508.911142421799</v>
      </c>
      <c r="G17" s="5">
        <f t="shared" si="3"/>
        <v>16812.395036749578</v>
      </c>
      <c r="H17" s="5">
        <f t="shared" si="3"/>
        <v>49599.587930186215</v>
      </c>
      <c r="I17" s="5">
        <f t="shared" si="3"/>
        <v>63922.911522319657</v>
      </c>
      <c r="J17" s="5">
        <f t="shared" si="3"/>
        <v>70338.639499935845</v>
      </c>
      <c r="K17" s="5">
        <f t="shared" si="3"/>
        <v>71178.802268539002</v>
      </c>
      <c r="L17" s="5">
        <f t="shared" si="3"/>
        <v>46954.776311228081</v>
      </c>
      <c r="M17" s="5">
        <f t="shared" si="3"/>
        <v>47338.168178305707</v>
      </c>
      <c r="N17" s="5">
        <f t="shared" si="3"/>
        <v>47338.168178305707</v>
      </c>
      <c r="O17" s="5">
        <f t="shared" si="3"/>
        <v>47338.168178305707</v>
      </c>
      <c r="P17" s="5">
        <f t="shared" si="3"/>
        <v>47338.168178305707</v>
      </c>
      <c r="Q17" s="5">
        <f t="shared" si="3"/>
        <v>47338.168178305707</v>
      </c>
      <c r="R17" s="5">
        <f t="shared" si="2"/>
        <v>593114.39016678755</v>
      </c>
      <c r="S17" s="6"/>
      <c r="T17" s="6"/>
    </row>
    <row r="22" spans="1:20">
      <c r="B22" s="6"/>
      <c r="C22" s="6"/>
      <c r="D22" s="6"/>
      <c r="E22" s="6"/>
      <c r="F22" s="6"/>
      <c r="G22" s="6"/>
      <c r="H22" s="6"/>
      <c r="I22" s="6"/>
    </row>
    <row r="23" spans="1:20">
      <c r="B23" s="6"/>
      <c r="C23" s="6"/>
      <c r="D23" s="6"/>
      <c r="E23" s="6"/>
      <c r="F23" s="6"/>
      <c r="G23" s="6"/>
      <c r="H23" s="6"/>
      <c r="I23" s="6"/>
    </row>
    <row r="24" spans="1:20">
      <c r="B24" s="6"/>
      <c r="C24" s="6"/>
      <c r="D24" s="6"/>
      <c r="E24" s="6"/>
      <c r="F24" s="6"/>
      <c r="G24" s="6"/>
      <c r="H24" s="6"/>
      <c r="I24" s="6"/>
    </row>
    <row r="25" spans="1:20">
      <c r="B25" s="6"/>
      <c r="C25" s="6"/>
      <c r="D25" s="6"/>
      <c r="E25" s="6"/>
      <c r="F25" s="6"/>
      <c r="G25" s="6"/>
      <c r="H25" s="6"/>
      <c r="I25" s="6"/>
    </row>
    <row r="26" spans="1:20">
      <c r="B26" s="6"/>
      <c r="C26" s="6"/>
      <c r="D26" s="6"/>
      <c r="E26" s="6"/>
      <c r="F26" s="6"/>
      <c r="G26" s="6"/>
      <c r="H26" s="6"/>
      <c r="I26" s="6"/>
    </row>
    <row r="27" spans="1:20">
      <c r="B27" s="6"/>
      <c r="C27" s="6"/>
      <c r="D27" s="6"/>
      <c r="E27" s="6"/>
      <c r="F27" s="6"/>
      <c r="G27" s="6"/>
      <c r="H27" s="6"/>
      <c r="I27" s="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 filterMode="1"/>
  <dimension ref="A1:AN48"/>
  <sheetViews>
    <sheetView topLeftCell="A7" zoomScale="70" zoomScaleNormal="70" zoomScaleSheetLayoutView="70" workbookViewId="0">
      <pane xSplit="4" ySplit="7" topLeftCell="E18" activePane="bottomRight" state="frozen"/>
      <selection activeCell="A7" sqref="A7"/>
      <selection pane="topRight" activeCell="E7" sqref="E7"/>
      <selection pane="bottomLeft" activeCell="A14" sqref="A14"/>
      <selection pane="bottomRight" activeCell="P33" sqref="P33"/>
    </sheetView>
  </sheetViews>
  <sheetFormatPr defaultRowHeight="15"/>
  <cols>
    <col min="1" max="1" width="4.42578125" style="92" customWidth="1"/>
    <col min="2" max="2" width="4.7109375" style="14" customWidth="1"/>
    <col min="3" max="3" width="31.5703125" style="91" customWidth="1"/>
    <col min="4" max="4" width="62" style="18" customWidth="1"/>
    <col min="5" max="5" width="9.5703125" style="18" customWidth="1"/>
    <col min="6" max="6" width="9.42578125" style="91" customWidth="1"/>
    <col min="7" max="8" width="9.42578125" style="222" customWidth="1"/>
    <col min="9" max="9" width="10.28515625" style="91" customWidth="1"/>
    <col min="10" max="10" width="9.42578125" style="91" customWidth="1"/>
    <col min="11" max="11" width="12.28515625" style="115" customWidth="1"/>
    <col min="12" max="12" width="12.42578125" style="17" customWidth="1"/>
    <col min="13" max="13" width="12.5703125" style="17" customWidth="1"/>
    <col min="14" max="14" width="12.140625" style="133" customWidth="1"/>
    <col min="15" max="15" width="14.140625" style="114" customWidth="1"/>
    <col min="16" max="16" width="20" style="15" customWidth="1"/>
    <col min="17" max="17" width="18.85546875" style="17" customWidth="1"/>
    <col min="18" max="18" width="19" style="17" customWidth="1"/>
    <col min="19" max="19" width="16.5703125" style="214" customWidth="1"/>
    <col min="20" max="16384" width="9.140625" style="15"/>
  </cols>
  <sheetData>
    <row r="1" spans="1:23" s="125" customFormat="1" ht="23.25">
      <c r="A1" s="92"/>
      <c r="B1" s="243" t="s">
        <v>541</v>
      </c>
      <c r="C1" s="244"/>
      <c r="D1" s="18"/>
      <c r="E1" s="18"/>
      <c r="F1" s="241"/>
      <c r="G1" s="241"/>
      <c r="H1" s="243" t="s">
        <v>541</v>
      </c>
      <c r="I1" s="244"/>
      <c r="J1" s="241"/>
      <c r="K1" s="115"/>
      <c r="L1" s="214"/>
      <c r="M1" s="214"/>
      <c r="N1" s="214"/>
      <c r="O1" s="218"/>
      <c r="Q1" s="214"/>
      <c r="R1" s="214"/>
      <c r="S1" s="248"/>
    </row>
    <row r="2" spans="1:23" s="125" customFormat="1" ht="23.25">
      <c r="A2" s="92"/>
      <c r="B2" s="245" t="s">
        <v>551</v>
      </c>
      <c r="C2" s="245"/>
      <c r="D2" s="18"/>
      <c r="E2" s="18"/>
      <c r="F2" s="241"/>
      <c r="G2" s="241"/>
      <c r="H2" s="245" t="s">
        <v>558</v>
      </c>
      <c r="I2" s="245"/>
      <c r="J2" s="241"/>
      <c r="K2" s="115"/>
      <c r="L2" s="214"/>
      <c r="M2" s="214"/>
      <c r="N2" s="214"/>
      <c r="O2" s="218"/>
      <c r="Q2" s="214"/>
      <c r="R2" s="214"/>
      <c r="S2" s="248"/>
    </row>
    <row r="3" spans="1:23" s="125" customFormat="1" ht="23.25">
      <c r="A3" s="92"/>
      <c r="B3" s="245" t="s">
        <v>542</v>
      </c>
      <c r="C3" s="245"/>
      <c r="D3" s="18"/>
      <c r="E3" s="18"/>
      <c r="F3" s="241"/>
      <c r="G3" s="241"/>
      <c r="H3" s="245" t="s">
        <v>559</v>
      </c>
      <c r="I3" s="245"/>
      <c r="J3" s="241"/>
      <c r="K3" s="115"/>
      <c r="L3" s="214"/>
      <c r="M3" s="214"/>
      <c r="N3" s="214"/>
      <c r="O3" s="218"/>
      <c r="Q3" s="214"/>
      <c r="R3" s="214"/>
      <c r="S3" s="248"/>
    </row>
    <row r="4" spans="1:23" s="125" customFormat="1" ht="23.25">
      <c r="A4" s="92"/>
      <c r="B4" s="243" t="s">
        <v>345</v>
      </c>
      <c r="C4" s="244"/>
      <c r="D4" s="18"/>
      <c r="E4" s="18"/>
      <c r="F4" s="241"/>
      <c r="G4" s="241"/>
      <c r="H4" s="243" t="s">
        <v>345</v>
      </c>
      <c r="I4" s="244"/>
      <c r="J4" s="241"/>
      <c r="K4" s="115"/>
      <c r="L4" s="214"/>
      <c r="M4" s="214"/>
      <c r="N4" s="214"/>
      <c r="O4" s="218"/>
      <c r="Q4" s="214"/>
      <c r="R4" s="214"/>
      <c r="S4" s="248"/>
    </row>
    <row r="5" spans="1:23" s="125" customFormat="1" ht="23.25">
      <c r="A5" s="92"/>
      <c r="B5" s="243" t="s">
        <v>543</v>
      </c>
      <c r="C5" s="243"/>
      <c r="D5" s="18"/>
      <c r="E5" s="18"/>
      <c r="F5" s="241"/>
      <c r="G5" s="241"/>
      <c r="H5" s="243" t="s">
        <v>560</v>
      </c>
      <c r="I5" s="243"/>
      <c r="J5" s="241"/>
      <c r="K5" s="115"/>
      <c r="L5" s="214"/>
      <c r="M5" s="214"/>
      <c r="N5" s="214"/>
      <c r="O5" s="218"/>
      <c r="Q5" s="214"/>
      <c r="R5" s="214"/>
      <c r="S5" s="248"/>
    </row>
    <row r="6" spans="1:23" s="125" customFormat="1" ht="23.25">
      <c r="A6" s="92"/>
      <c r="B6" s="243" t="s">
        <v>552</v>
      </c>
      <c r="C6" s="243"/>
      <c r="D6" s="18"/>
      <c r="E6" s="18"/>
      <c r="F6" s="241"/>
      <c r="G6" s="241"/>
      <c r="H6" s="243" t="s">
        <v>552</v>
      </c>
      <c r="I6" s="243"/>
      <c r="J6" s="241"/>
      <c r="K6" s="115"/>
      <c r="L6" s="214"/>
      <c r="M6" s="214"/>
      <c r="N6" s="214"/>
      <c r="O6" s="218"/>
      <c r="Q6" s="214"/>
      <c r="R6" s="214"/>
      <c r="S6" s="248"/>
    </row>
    <row r="7" spans="1:23" s="125" customFormat="1" ht="18.75">
      <c r="A7" s="92"/>
      <c r="B7" s="246"/>
      <c r="C7" s="247"/>
      <c r="D7" s="18"/>
      <c r="E7" s="18"/>
      <c r="F7" s="241"/>
      <c r="G7" s="241"/>
      <c r="H7" s="246"/>
      <c r="I7" s="247"/>
      <c r="J7" s="241"/>
      <c r="K7" s="115"/>
      <c r="L7" s="214"/>
      <c r="M7" s="214"/>
      <c r="N7" s="214"/>
      <c r="O7" s="218"/>
      <c r="Q7" s="214"/>
      <c r="R7" s="214"/>
      <c r="S7" s="249"/>
    </row>
    <row r="8" spans="1:23" s="125" customFormat="1" ht="25.5" customHeight="1">
      <c r="A8" s="306" t="s">
        <v>553</v>
      </c>
      <c r="B8" s="306"/>
      <c r="C8" s="306"/>
      <c r="D8" s="306"/>
      <c r="E8" s="306"/>
      <c r="F8" s="306"/>
      <c r="G8" s="306"/>
      <c r="H8" s="306"/>
      <c r="I8" s="306"/>
      <c r="J8" s="306"/>
      <c r="K8" s="306"/>
      <c r="L8" s="306"/>
      <c r="M8" s="306"/>
      <c r="N8" s="306"/>
      <c r="O8" s="306"/>
      <c r="P8" s="306"/>
      <c r="Q8" s="306"/>
      <c r="R8" s="306"/>
    </row>
    <row r="9" spans="1:23" ht="15" customHeight="1">
      <c r="A9" s="307" t="s">
        <v>362</v>
      </c>
      <c r="B9" s="303" t="s">
        <v>561</v>
      </c>
      <c r="C9" s="302" t="s">
        <v>280</v>
      </c>
      <c r="D9" s="278" t="s">
        <v>329</v>
      </c>
      <c r="E9" s="302" t="s">
        <v>330</v>
      </c>
      <c r="F9" s="302"/>
      <c r="G9" s="310" t="s">
        <v>504</v>
      </c>
      <c r="H9" s="310" t="s">
        <v>506</v>
      </c>
      <c r="I9" s="302" t="s">
        <v>334</v>
      </c>
      <c r="J9" s="302" t="s">
        <v>333</v>
      </c>
      <c r="K9" s="278" t="s">
        <v>335</v>
      </c>
      <c r="L9" s="318"/>
      <c r="M9" s="318"/>
      <c r="N9" s="318"/>
      <c r="O9" s="319" t="s">
        <v>492</v>
      </c>
      <c r="P9" s="316" t="s">
        <v>341</v>
      </c>
      <c r="Q9" s="313" t="s">
        <v>358</v>
      </c>
      <c r="R9" s="294" t="s">
        <v>359</v>
      </c>
      <c r="S9" s="294" t="s">
        <v>494</v>
      </c>
    </row>
    <row r="10" spans="1:23">
      <c r="A10" s="308"/>
      <c r="B10" s="304"/>
      <c r="C10" s="302"/>
      <c r="D10" s="278"/>
      <c r="E10" s="302"/>
      <c r="F10" s="302"/>
      <c r="G10" s="311"/>
      <c r="H10" s="311"/>
      <c r="I10" s="302"/>
      <c r="J10" s="302"/>
      <c r="K10" s="278"/>
      <c r="L10" s="94">
        <v>2019</v>
      </c>
      <c r="M10" s="94">
        <v>2020</v>
      </c>
      <c r="N10" s="135">
        <v>2021</v>
      </c>
      <c r="O10" s="320"/>
      <c r="P10" s="316"/>
      <c r="Q10" s="314"/>
      <c r="R10" s="294"/>
      <c r="S10" s="294"/>
    </row>
    <row r="11" spans="1:23" ht="63" customHeight="1">
      <c r="A11" s="309"/>
      <c r="B11" s="305"/>
      <c r="C11" s="302"/>
      <c r="D11" s="278"/>
      <c r="E11" s="96" t="s">
        <v>331</v>
      </c>
      <c r="F11" s="96" t="s">
        <v>332</v>
      </c>
      <c r="G11" s="312"/>
      <c r="H11" s="312"/>
      <c r="I11" s="302"/>
      <c r="J11" s="302"/>
      <c r="K11" s="278"/>
      <c r="L11" s="97" t="s">
        <v>337</v>
      </c>
      <c r="M11" s="97" t="s">
        <v>337</v>
      </c>
      <c r="N11" s="134" t="s">
        <v>337</v>
      </c>
      <c r="O11" s="36" t="s">
        <v>337</v>
      </c>
      <c r="P11" s="316"/>
      <c r="Q11" s="315"/>
      <c r="R11" s="294"/>
      <c r="S11" s="294"/>
    </row>
    <row r="12" spans="1:23" ht="47.25" customHeight="1">
      <c r="A12" s="297" t="s">
        <v>345</v>
      </c>
      <c r="B12" s="297"/>
      <c r="C12" s="297"/>
      <c r="D12" s="297"/>
      <c r="E12" s="297"/>
      <c r="F12" s="297"/>
      <c r="G12" s="297"/>
      <c r="H12" s="297"/>
      <c r="I12" s="297"/>
      <c r="J12" s="297"/>
      <c r="K12" s="297"/>
      <c r="L12" s="297"/>
      <c r="M12" s="297"/>
      <c r="N12" s="297"/>
      <c r="O12" s="297"/>
      <c r="P12" s="297"/>
      <c r="Q12" s="297"/>
      <c r="R12" s="106"/>
      <c r="S12" s="106"/>
    </row>
    <row r="13" spans="1:23" s="93" customFormat="1" ht="20.25" hidden="1" customHeight="1">
      <c r="A13" s="299" t="s">
        <v>281</v>
      </c>
      <c r="B13" s="300"/>
      <c r="C13" s="301"/>
      <c r="D13" s="98"/>
      <c r="E13" s="98"/>
      <c r="F13" s="98"/>
      <c r="G13" s="152"/>
      <c r="H13" s="152"/>
      <c r="I13" s="98"/>
      <c r="J13" s="98"/>
      <c r="K13" s="98">
        <f>SUM(K14:K15)</f>
        <v>920278.76679999987</v>
      </c>
      <c r="L13" s="152">
        <f t="shared" ref="L13:O13" si="0">SUM(L14:L15)</f>
        <v>0</v>
      </c>
      <c r="M13" s="152">
        <f t="shared" si="0"/>
        <v>592296.57456994604</v>
      </c>
      <c r="N13" s="152">
        <f t="shared" si="0"/>
        <v>327982.19223005389</v>
      </c>
      <c r="O13" s="152">
        <f t="shared" si="0"/>
        <v>920278.76679999987</v>
      </c>
      <c r="P13" s="98"/>
      <c r="Q13" s="104">
        <v>0</v>
      </c>
      <c r="R13" s="98">
        <v>0</v>
      </c>
      <c r="S13" s="152"/>
      <c r="T13" s="37"/>
      <c r="U13" s="37"/>
      <c r="V13" s="37"/>
      <c r="W13" s="37"/>
    </row>
    <row r="14" spans="1:23" s="218" customFormat="1" ht="47.25" customHeight="1">
      <c r="A14" s="225" t="s">
        <v>564</v>
      </c>
      <c r="B14" s="109">
        <v>2</v>
      </c>
      <c r="C14" s="259" t="s">
        <v>547</v>
      </c>
      <c r="D14" s="159" t="s">
        <v>499</v>
      </c>
      <c r="E14" s="227" t="s">
        <v>500</v>
      </c>
      <c r="F14" s="220">
        <v>76</v>
      </c>
      <c r="G14" s="220" t="s">
        <v>505</v>
      </c>
      <c r="H14" s="220" t="s">
        <v>507</v>
      </c>
      <c r="I14" s="120">
        <v>0</v>
      </c>
      <c r="J14" s="120">
        <v>0</v>
      </c>
      <c r="K14" s="258">
        <f>O14</f>
        <v>460139.38339999993</v>
      </c>
      <c r="L14" s="217"/>
      <c r="M14" s="217">
        <v>296148.28728497302</v>
      </c>
      <c r="N14" s="217">
        <v>163991.09611502694</v>
      </c>
      <c r="O14" s="215">
        <f>SUM(L14:N14)</f>
        <v>460139.38339999993</v>
      </c>
      <c r="P14" s="215" t="s">
        <v>457</v>
      </c>
      <c r="Q14" s="149">
        <v>6903.1273051124554</v>
      </c>
      <c r="R14" s="215">
        <f>Q14*6</f>
        <v>41418.763830674732</v>
      </c>
      <c r="S14" s="215" t="s">
        <v>497</v>
      </c>
    </row>
    <row r="15" spans="1:23" s="218" customFormat="1" ht="54.75" customHeight="1">
      <c r="A15" s="225" t="s">
        <v>498</v>
      </c>
      <c r="B15" s="109">
        <v>2</v>
      </c>
      <c r="C15" s="259" t="s">
        <v>548</v>
      </c>
      <c r="D15" s="159" t="s">
        <v>499</v>
      </c>
      <c r="E15" s="227" t="s">
        <v>500</v>
      </c>
      <c r="F15" s="220">
        <v>76</v>
      </c>
      <c r="G15" s="220" t="s">
        <v>505</v>
      </c>
      <c r="H15" s="220" t="s">
        <v>507</v>
      </c>
      <c r="I15" s="120">
        <v>0</v>
      </c>
      <c r="J15" s="120">
        <v>0</v>
      </c>
      <c r="K15" s="258">
        <f>O15</f>
        <v>460139.38339999993</v>
      </c>
      <c r="L15" s="217"/>
      <c r="M15" s="217">
        <v>296148.28728497302</v>
      </c>
      <c r="N15" s="217">
        <v>163991.09611502694</v>
      </c>
      <c r="O15" s="262">
        <f>SUM(L15:N15)</f>
        <v>460139.38339999993</v>
      </c>
      <c r="P15" s="215" t="s">
        <v>457</v>
      </c>
      <c r="Q15" s="149">
        <v>6903.1273051124554</v>
      </c>
      <c r="R15" s="215">
        <f>Q15*6</f>
        <v>41418.763830674732</v>
      </c>
      <c r="S15" s="215" t="s">
        <v>497</v>
      </c>
    </row>
    <row r="16" spans="1:23" s="93" customFormat="1" ht="15" hidden="1" customHeight="1">
      <c r="A16" s="299" t="s">
        <v>282</v>
      </c>
      <c r="B16" s="300"/>
      <c r="C16" s="301"/>
      <c r="D16" s="98"/>
      <c r="E16" s="98"/>
      <c r="F16" s="98"/>
      <c r="G16" s="152"/>
      <c r="H16" s="152"/>
      <c r="I16" s="98"/>
      <c r="J16" s="98"/>
      <c r="K16" s="98">
        <f t="shared" ref="K16:O16" si="1">SUM(K19:K19)</f>
        <v>640739.41479999991</v>
      </c>
      <c r="L16" s="152">
        <f t="shared" si="1"/>
        <v>0</v>
      </c>
      <c r="M16" s="152">
        <f t="shared" si="1"/>
        <v>544628.50257999997</v>
      </c>
      <c r="N16" s="152">
        <f t="shared" si="1"/>
        <v>96110.912219999998</v>
      </c>
      <c r="O16" s="152">
        <f t="shared" si="1"/>
        <v>640739.41479999991</v>
      </c>
      <c r="P16" s="152"/>
      <c r="Q16" s="152">
        <f>SUM(Q19:Q19)</f>
        <v>6903.1273051124554</v>
      </c>
      <c r="R16" s="152">
        <f>SUM(R19:R19)</f>
        <v>41418.763830674732</v>
      </c>
      <c r="S16" s="152"/>
      <c r="T16" s="37"/>
      <c r="U16" s="37"/>
      <c r="V16" s="37"/>
      <c r="W16" s="37"/>
    </row>
    <row r="17" spans="1:40" s="93" customFormat="1" ht="15" hidden="1" customHeight="1">
      <c r="A17" s="299" t="s">
        <v>364</v>
      </c>
      <c r="B17" s="300"/>
      <c r="C17" s="301"/>
      <c r="D17" s="98"/>
      <c r="E17" s="98"/>
      <c r="F17" s="98"/>
      <c r="G17" s="152"/>
      <c r="H17" s="152"/>
      <c r="I17" s="98"/>
      <c r="J17" s="98"/>
      <c r="K17" s="98">
        <f t="shared" ref="K17:O17" si="2">SUM(K19:K19)</f>
        <v>640739.41479999991</v>
      </c>
      <c r="L17" s="98">
        <f t="shared" si="2"/>
        <v>0</v>
      </c>
      <c r="M17" s="98">
        <f t="shared" si="2"/>
        <v>544628.50257999997</v>
      </c>
      <c r="N17" s="136">
        <f t="shared" si="2"/>
        <v>96110.912219999998</v>
      </c>
      <c r="O17" s="98">
        <f t="shared" si="2"/>
        <v>640739.41479999991</v>
      </c>
      <c r="P17" s="98"/>
      <c r="Q17" s="110">
        <f>SUM(Q19:Q19)</f>
        <v>6903.1273051124554</v>
      </c>
      <c r="R17" s="110">
        <f>SUM(R19:R19)</f>
        <v>41418.763830674732</v>
      </c>
      <c r="S17" s="110"/>
      <c r="T17" s="37"/>
      <c r="U17" s="37"/>
      <c r="V17" s="37"/>
      <c r="W17" s="37"/>
    </row>
    <row r="18" spans="1:40" s="93" customFormat="1" ht="0.75" customHeight="1">
      <c r="A18" s="299" t="s">
        <v>481</v>
      </c>
      <c r="B18" s="300"/>
      <c r="C18" s="301"/>
      <c r="D18" s="152"/>
      <c r="E18" s="152"/>
      <c r="F18" s="152"/>
      <c r="G18" s="152"/>
      <c r="H18" s="152"/>
      <c r="I18" s="152"/>
      <c r="J18" s="152"/>
      <c r="K18" s="152" t="e">
        <f>#REF!</f>
        <v>#REF!</v>
      </c>
      <c r="L18" s="152" t="e">
        <f>#REF!</f>
        <v>#REF!</v>
      </c>
      <c r="M18" s="152" t="e">
        <f>#REF!</f>
        <v>#REF!</v>
      </c>
      <c r="N18" s="152" t="e">
        <f>#REF!</f>
        <v>#REF!</v>
      </c>
      <c r="O18" s="152" t="e">
        <f>#REF!</f>
        <v>#REF!</v>
      </c>
      <c r="P18" s="152"/>
      <c r="Q18" s="152" t="e">
        <f>#REF!</f>
        <v>#REF!</v>
      </c>
      <c r="R18" s="152" t="e">
        <f>#REF!</f>
        <v>#REF!</v>
      </c>
      <c r="S18" s="152"/>
      <c r="T18" s="137"/>
      <c r="U18" s="137"/>
      <c r="V18" s="137"/>
      <c r="W18" s="137"/>
    </row>
    <row r="19" spans="1:40" s="218" customFormat="1" ht="42.75" customHeight="1">
      <c r="A19" s="225" t="s">
        <v>285</v>
      </c>
      <c r="B19" s="109">
        <v>2</v>
      </c>
      <c r="C19" s="259" t="s">
        <v>501</v>
      </c>
      <c r="D19" s="159" t="s">
        <v>545</v>
      </c>
      <c r="E19" s="227" t="s">
        <v>342</v>
      </c>
      <c r="F19" s="220">
        <v>1</v>
      </c>
      <c r="G19" s="220" t="s">
        <v>505</v>
      </c>
      <c r="H19" s="220" t="s">
        <v>507</v>
      </c>
      <c r="I19" s="120">
        <v>0</v>
      </c>
      <c r="J19" s="120">
        <v>0</v>
      </c>
      <c r="K19" s="258">
        <f t="shared" ref="K19" si="3">O19</f>
        <v>640739.41479999991</v>
      </c>
      <c r="L19" s="217"/>
      <c r="M19" s="217">
        <v>544628.50257999997</v>
      </c>
      <c r="N19" s="217">
        <v>96110.912219999998</v>
      </c>
      <c r="O19" s="262">
        <f>SUM(L19:N19)</f>
        <v>640739.41479999991</v>
      </c>
      <c r="P19" s="215" t="s">
        <v>457</v>
      </c>
      <c r="Q19" s="149">
        <v>6903.1273051124554</v>
      </c>
      <c r="R19" s="215">
        <f>Q19*6</f>
        <v>41418.763830674732</v>
      </c>
      <c r="S19" s="215" t="s">
        <v>497</v>
      </c>
    </row>
    <row r="20" spans="1:40" s="93" customFormat="1" ht="15" hidden="1" customHeight="1">
      <c r="A20" s="299" t="s">
        <v>283</v>
      </c>
      <c r="B20" s="300"/>
      <c r="C20" s="301"/>
      <c r="D20" s="98"/>
      <c r="E20" s="121"/>
      <c r="F20" s="121"/>
      <c r="G20" s="121"/>
      <c r="H20" s="121"/>
      <c r="I20" s="121"/>
      <c r="J20" s="121"/>
      <c r="K20" s="152">
        <f>SUM(K21)</f>
        <v>184197.56340000004</v>
      </c>
      <c r="L20" s="152">
        <f t="shared" ref="L20:O20" si="4">SUM(L21)</f>
        <v>0</v>
      </c>
      <c r="M20" s="152">
        <f t="shared" si="4"/>
        <v>101308.65987000002</v>
      </c>
      <c r="N20" s="152">
        <f t="shared" si="4"/>
        <v>82888.903530000011</v>
      </c>
      <c r="O20" s="152">
        <f t="shared" si="4"/>
        <v>184197.56340000004</v>
      </c>
      <c r="P20" s="98"/>
      <c r="Q20" s="110">
        <v>0</v>
      </c>
      <c r="R20" s="150">
        <v>0</v>
      </c>
      <c r="S20" s="152"/>
    </row>
    <row r="21" spans="1:40" s="218" customFormat="1" ht="66" customHeight="1">
      <c r="A21" s="225" t="s">
        <v>285</v>
      </c>
      <c r="B21" s="109">
        <v>2</v>
      </c>
      <c r="C21" s="259" t="s">
        <v>549</v>
      </c>
      <c r="D21" s="159" t="s">
        <v>546</v>
      </c>
      <c r="E21" s="227" t="s">
        <v>500</v>
      </c>
      <c r="F21" s="220">
        <v>25</v>
      </c>
      <c r="G21" s="220" t="s">
        <v>505</v>
      </c>
      <c r="H21" s="220" t="s">
        <v>507</v>
      </c>
      <c r="I21" s="120">
        <v>0</v>
      </c>
      <c r="J21" s="120">
        <v>0</v>
      </c>
      <c r="K21" s="258">
        <f>O21</f>
        <v>184197.56340000004</v>
      </c>
      <c r="L21" s="217"/>
      <c r="M21" s="217">
        <v>101308.65987000002</v>
      </c>
      <c r="N21" s="217">
        <v>82888.903530000011</v>
      </c>
      <c r="O21" s="262">
        <f>SUM(L21:N21)</f>
        <v>184197.56340000004</v>
      </c>
      <c r="P21" s="215" t="s">
        <v>457</v>
      </c>
      <c r="Q21" s="149">
        <v>6903.1273051124554</v>
      </c>
      <c r="R21" s="215">
        <f>Q21*6</f>
        <v>41418.763830674732</v>
      </c>
      <c r="S21" s="215" t="s">
        <v>497</v>
      </c>
    </row>
    <row r="22" spans="1:40" s="93" customFormat="1" ht="15" hidden="1" customHeight="1">
      <c r="A22" s="299" t="s">
        <v>284</v>
      </c>
      <c r="B22" s="300"/>
      <c r="C22" s="301"/>
      <c r="D22" s="98"/>
      <c r="E22" s="121"/>
      <c r="F22" s="121"/>
      <c r="G22" s="121"/>
      <c r="H22" s="121"/>
      <c r="I22" s="121"/>
      <c r="J22" s="121"/>
      <c r="K22" s="98">
        <f t="shared" ref="K22:O22" si="5">SUM(K27:K29)</f>
        <v>311876.98327535496</v>
      </c>
      <c r="L22" s="152">
        <f t="shared" si="5"/>
        <v>106859.17277535499</v>
      </c>
      <c r="M22" s="152">
        <f t="shared" si="5"/>
        <v>7995.5177500000009</v>
      </c>
      <c r="N22" s="152">
        <f t="shared" si="5"/>
        <v>197022.29274999999</v>
      </c>
      <c r="O22" s="152">
        <f t="shared" si="5"/>
        <v>311876.98327535496</v>
      </c>
      <c r="P22" s="98"/>
      <c r="Q22" s="98">
        <f>SUM(Q28:Q29)</f>
        <v>702.83432203685675</v>
      </c>
      <c r="R22" s="150">
        <f>SUM(R28:R29)</f>
        <v>4062.0776106057583</v>
      </c>
      <c r="S22" s="152"/>
    </row>
    <row r="23" spans="1:40" s="93" customFormat="1" ht="36.75" hidden="1" customHeight="1">
      <c r="A23" s="299" t="s">
        <v>365</v>
      </c>
      <c r="B23" s="300"/>
      <c r="C23" s="301"/>
      <c r="D23" s="98"/>
      <c r="E23" s="121"/>
      <c r="F23" s="121"/>
      <c r="G23" s="121"/>
      <c r="H23" s="121"/>
      <c r="I23" s="121"/>
      <c r="J23" s="121"/>
      <c r="K23" s="98" t="e">
        <f>SUM(#REF!)</f>
        <v>#REF!</v>
      </c>
      <c r="L23" s="141" t="e">
        <f>SUM(#REF!)</f>
        <v>#REF!</v>
      </c>
      <c r="M23" s="141" t="e">
        <f>SUM(#REF!)</f>
        <v>#REF!</v>
      </c>
      <c r="N23" s="141" t="e">
        <f>SUM(#REF!)</f>
        <v>#REF!</v>
      </c>
      <c r="O23" s="141" t="e">
        <f>SUM(#REF!)</f>
        <v>#REF!</v>
      </c>
      <c r="P23" s="98"/>
      <c r="Q23" s="110" t="e">
        <f>SUM(#REF!)</f>
        <v>#REF!</v>
      </c>
      <c r="R23" s="150" t="e">
        <f>SUM(#REF!)</f>
        <v>#REF!</v>
      </c>
      <c r="S23" s="152"/>
    </row>
    <row r="24" spans="1:40" s="93" customFormat="1" ht="15" hidden="1" customHeight="1">
      <c r="A24" s="299" t="s">
        <v>366</v>
      </c>
      <c r="B24" s="300"/>
      <c r="C24" s="301"/>
      <c r="D24" s="98"/>
      <c r="E24" s="121"/>
      <c r="F24" s="121"/>
      <c r="G24" s="121"/>
      <c r="H24" s="121"/>
      <c r="I24" s="121"/>
      <c r="J24" s="121"/>
      <c r="K24" s="98" t="e">
        <f>#REF!+K28</f>
        <v>#REF!</v>
      </c>
      <c r="L24" s="152" t="e">
        <f>#REF!+L28</f>
        <v>#REF!</v>
      </c>
      <c r="M24" s="152" t="e">
        <f>#REF!+M28</f>
        <v>#REF!</v>
      </c>
      <c r="N24" s="152" t="e">
        <f>#REF!+N28</f>
        <v>#REF!</v>
      </c>
      <c r="O24" s="152" t="e">
        <f>#REF!+O28</f>
        <v>#REF!</v>
      </c>
      <c r="P24" s="152"/>
      <c r="Q24" s="152" t="e">
        <f>#REF!+Q28</f>
        <v>#REF!</v>
      </c>
      <c r="R24" s="152" t="e">
        <f>#REF!+R28</f>
        <v>#REF!</v>
      </c>
      <c r="S24" s="152"/>
    </row>
    <row r="25" spans="1:40" s="93" customFormat="1" ht="15" hidden="1" customHeight="1">
      <c r="A25" s="299" t="s">
        <v>367</v>
      </c>
      <c r="B25" s="300"/>
      <c r="C25" s="301"/>
      <c r="D25" s="98"/>
      <c r="E25" s="121"/>
      <c r="F25" s="121"/>
      <c r="G25" s="121"/>
      <c r="H25" s="121"/>
      <c r="I25" s="121"/>
      <c r="J25" s="121"/>
      <c r="K25" s="98" t="e">
        <f>#REF!</f>
        <v>#REF!</v>
      </c>
      <c r="L25" s="152" t="e">
        <f>#REF!</f>
        <v>#REF!</v>
      </c>
      <c r="M25" s="152" t="e">
        <f>#REF!</f>
        <v>#REF!</v>
      </c>
      <c r="N25" s="152" t="e">
        <f>#REF!</f>
        <v>#REF!</v>
      </c>
      <c r="O25" s="152" t="e">
        <f>#REF!</f>
        <v>#REF!</v>
      </c>
      <c r="P25" s="152"/>
      <c r="Q25" s="152" t="e">
        <f>#REF!</f>
        <v>#REF!</v>
      </c>
      <c r="R25" s="152" t="e">
        <f>#REF!</f>
        <v>#REF!</v>
      </c>
      <c r="S25" s="152"/>
    </row>
    <row r="26" spans="1:40" s="93" customFormat="1" ht="16.5" hidden="1" customHeight="1">
      <c r="A26" s="299" t="s">
        <v>369</v>
      </c>
      <c r="B26" s="300"/>
      <c r="C26" s="301"/>
      <c r="D26" s="98"/>
      <c r="E26" s="121"/>
      <c r="F26" s="121"/>
      <c r="G26" s="121"/>
      <c r="H26" s="121"/>
      <c r="I26" s="121"/>
      <c r="J26" s="121"/>
      <c r="K26" s="98">
        <f>K29</f>
        <v>190480.5055</v>
      </c>
      <c r="L26" s="152">
        <f t="shared" ref="L26:R26" si="6">L29</f>
        <v>0</v>
      </c>
      <c r="M26" s="152">
        <f>N29</f>
        <v>190480.5055</v>
      </c>
      <c r="N26" s="152" t="e">
        <f>#REF!</f>
        <v>#REF!</v>
      </c>
      <c r="O26" s="152">
        <f t="shared" si="6"/>
        <v>190480.5055</v>
      </c>
      <c r="P26" s="152"/>
      <c r="Q26" s="152">
        <f t="shared" si="6"/>
        <v>154.92832161538277</v>
      </c>
      <c r="R26" s="152">
        <f t="shared" si="6"/>
        <v>774.64160807691383</v>
      </c>
      <c r="S26" s="152"/>
    </row>
    <row r="27" spans="1:40" s="218" customFormat="1" ht="28.5" customHeight="1">
      <c r="A27" s="225" t="s">
        <v>290</v>
      </c>
      <c r="B27" s="109">
        <v>2</v>
      </c>
      <c r="C27" s="259" t="s">
        <v>475</v>
      </c>
      <c r="D27" s="181" t="s">
        <v>438</v>
      </c>
      <c r="E27" s="220" t="s">
        <v>342</v>
      </c>
      <c r="F27" s="220">
        <v>1</v>
      </c>
      <c r="G27" s="220" t="s">
        <v>508</v>
      </c>
      <c r="H27" s="220" t="s">
        <v>507</v>
      </c>
      <c r="I27" s="229">
        <v>0</v>
      </c>
      <c r="J27" s="229">
        <v>0</v>
      </c>
      <c r="K27" s="258">
        <f t="shared" ref="K27:K33" si="7">O27</f>
        <v>14537.305</v>
      </c>
      <c r="L27" s="217"/>
      <c r="M27" s="238">
        <v>7995.5177500000009</v>
      </c>
      <c r="N27" s="238">
        <v>6541.7872500000003</v>
      </c>
      <c r="O27" s="262">
        <f>SUM(L27:N27)</f>
        <v>14537.305</v>
      </c>
      <c r="P27" s="215" t="s">
        <v>458</v>
      </c>
      <c r="Q27" s="215">
        <v>5916.9662615249617</v>
      </c>
      <c r="R27" s="215">
        <f>Q27*6</f>
        <v>35501.79756914977</v>
      </c>
      <c r="S27" s="215" t="s">
        <v>497</v>
      </c>
      <c r="T27" s="230"/>
      <c r="U27" s="230"/>
      <c r="V27" s="231"/>
      <c r="W27" s="231"/>
      <c r="X27" s="231"/>
      <c r="Y27" s="231"/>
      <c r="Z27" s="232"/>
      <c r="AA27" s="233"/>
      <c r="AB27" s="234"/>
      <c r="AC27" s="231"/>
      <c r="AD27" s="231"/>
      <c r="AE27" s="231"/>
      <c r="AF27" s="231"/>
      <c r="AG27" s="235"/>
      <c r="AH27" s="235"/>
      <c r="AI27" s="235"/>
      <c r="AJ27" s="235"/>
      <c r="AK27" s="235"/>
      <c r="AL27" s="235"/>
      <c r="AM27" s="235"/>
      <c r="AN27" s="235"/>
    </row>
    <row r="28" spans="1:40" s="218" customFormat="1" ht="46.5" customHeight="1">
      <c r="A28" s="225" t="s">
        <v>291</v>
      </c>
      <c r="B28" s="236">
        <v>2</v>
      </c>
      <c r="C28" s="261" t="s">
        <v>502</v>
      </c>
      <c r="D28" s="159" t="s">
        <v>372</v>
      </c>
      <c r="E28" s="228" t="s">
        <v>370</v>
      </c>
      <c r="F28" s="228" t="s">
        <v>371</v>
      </c>
      <c r="G28" s="237" t="s">
        <v>509</v>
      </c>
      <c r="H28" s="227" t="s">
        <v>507</v>
      </c>
      <c r="I28" s="120">
        <v>0.1</v>
      </c>
      <c r="J28" s="120">
        <v>1</v>
      </c>
      <c r="K28" s="258">
        <f t="shared" si="7"/>
        <v>106859.17277535499</v>
      </c>
      <c r="L28" s="217">
        <v>106859.17277535499</v>
      </c>
      <c r="M28" s="215"/>
      <c r="N28" s="215"/>
      <c r="O28" s="262">
        <f>SUM(L28:N28)</f>
        <v>106859.17277535499</v>
      </c>
      <c r="P28" s="215" t="s">
        <v>457</v>
      </c>
      <c r="Q28" s="149">
        <v>547.906000421474</v>
      </c>
      <c r="R28" s="215">
        <f>Q28*6</f>
        <v>3287.4360025288443</v>
      </c>
      <c r="S28" s="215" t="s">
        <v>497</v>
      </c>
    </row>
    <row r="29" spans="1:40" s="218" customFormat="1" ht="51.75" customHeight="1">
      <c r="A29" s="225" t="s">
        <v>292</v>
      </c>
      <c r="B29" s="109">
        <v>5</v>
      </c>
      <c r="C29" s="261" t="s">
        <v>503</v>
      </c>
      <c r="D29" s="159" t="s">
        <v>397</v>
      </c>
      <c r="E29" s="228" t="s">
        <v>361</v>
      </c>
      <c r="F29" s="220" t="s">
        <v>363</v>
      </c>
      <c r="G29" s="237" t="s">
        <v>510</v>
      </c>
      <c r="H29" s="220" t="s">
        <v>507</v>
      </c>
      <c r="I29" s="120">
        <v>0</v>
      </c>
      <c r="J29" s="120">
        <v>0</v>
      </c>
      <c r="K29" s="258">
        <f t="shared" si="7"/>
        <v>190480.5055</v>
      </c>
      <c r="L29" s="215"/>
      <c r="N29" s="217">
        <v>190480.5055</v>
      </c>
      <c r="O29" s="262">
        <f>SUM(L29:N29)</f>
        <v>190480.5055</v>
      </c>
      <c r="P29" s="215" t="s">
        <v>457</v>
      </c>
      <c r="Q29" s="149">
        <v>154.92832161538277</v>
      </c>
      <c r="R29" s="149">
        <f>Q29*5</f>
        <v>774.64160807691383</v>
      </c>
      <c r="S29" s="215" t="s">
        <v>497</v>
      </c>
    </row>
    <row r="30" spans="1:40" s="218" customFormat="1" ht="73.5" customHeight="1">
      <c r="A30" s="225" t="s">
        <v>295</v>
      </c>
      <c r="B30" s="109">
        <v>2</v>
      </c>
      <c r="C30" s="261" t="s">
        <v>562</v>
      </c>
      <c r="D30" s="159" t="s">
        <v>565</v>
      </c>
      <c r="E30" s="269" t="s">
        <v>324</v>
      </c>
      <c r="F30" s="269">
        <v>1</v>
      </c>
      <c r="G30" s="270" t="s">
        <v>567</v>
      </c>
      <c r="H30" s="265" t="s">
        <v>507</v>
      </c>
      <c r="I30" s="120">
        <v>0</v>
      </c>
      <c r="J30" s="120">
        <v>0</v>
      </c>
      <c r="K30" s="258">
        <f t="shared" si="7"/>
        <v>94918.37104960499</v>
      </c>
      <c r="L30" s="217"/>
      <c r="M30" s="217">
        <v>4356</v>
      </c>
      <c r="N30" s="217">
        <v>90562.37104960499</v>
      </c>
      <c r="O30" s="266">
        <f>SUM(L30:N30)</f>
        <v>94918.37104960499</v>
      </c>
      <c r="P30" s="266" t="s">
        <v>457</v>
      </c>
      <c r="Q30" s="149"/>
      <c r="R30" s="149"/>
      <c r="S30" s="266" t="s">
        <v>497</v>
      </c>
    </row>
    <row r="31" spans="1:40" s="218" customFormat="1" ht="73.5" customHeight="1">
      <c r="A31" s="225" t="s">
        <v>296</v>
      </c>
      <c r="B31" s="109">
        <v>2</v>
      </c>
      <c r="C31" s="261" t="s">
        <v>563</v>
      </c>
      <c r="D31" s="159" t="s">
        <v>566</v>
      </c>
      <c r="E31" s="269" t="s">
        <v>500</v>
      </c>
      <c r="F31" s="269">
        <v>51</v>
      </c>
      <c r="G31" s="270" t="s">
        <v>567</v>
      </c>
      <c r="H31" s="265" t="s">
        <v>507</v>
      </c>
      <c r="I31" s="120">
        <v>0</v>
      </c>
      <c r="J31" s="120">
        <v>0</v>
      </c>
      <c r="K31" s="258">
        <f t="shared" si="7"/>
        <v>61395</v>
      </c>
      <c r="L31" s="217"/>
      <c r="M31" s="217">
        <v>21139.5</v>
      </c>
      <c r="N31" s="217">
        <v>40255.5</v>
      </c>
      <c r="O31" s="266">
        <f>SUM(L31:N31)</f>
        <v>61395</v>
      </c>
      <c r="P31" s="266" t="s">
        <v>457</v>
      </c>
      <c r="Q31" s="149"/>
      <c r="R31" s="149"/>
      <c r="S31" s="266" t="s">
        <v>497</v>
      </c>
    </row>
    <row r="32" spans="1:40" s="218" customFormat="1" ht="73.5" customHeight="1">
      <c r="A32" s="225" t="s">
        <v>297</v>
      </c>
      <c r="B32" s="268">
        <v>3</v>
      </c>
      <c r="C32" s="261" t="s">
        <v>568</v>
      </c>
      <c r="D32" s="159" t="s">
        <v>565</v>
      </c>
      <c r="E32" s="269" t="s">
        <v>324</v>
      </c>
      <c r="F32" s="269">
        <v>1</v>
      </c>
      <c r="G32" s="270" t="s">
        <v>570</v>
      </c>
      <c r="H32" s="265" t="s">
        <v>507</v>
      </c>
      <c r="I32" s="120">
        <v>0</v>
      </c>
      <c r="J32" s="271">
        <v>0.5</v>
      </c>
      <c r="K32" s="258">
        <f t="shared" si="7"/>
        <v>307540</v>
      </c>
      <c r="L32" s="217">
        <v>46131</v>
      </c>
      <c r="M32" s="217">
        <v>261409</v>
      </c>
      <c r="N32" s="272"/>
      <c r="O32" s="266">
        <f>SUM(L32:N32)</f>
        <v>307540</v>
      </c>
      <c r="P32" s="266" t="s">
        <v>457</v>
      </c>
      <c r="Q32" s="266" t="s">
        <v>497</v>
      </c>
      <c r="R32" s="149"/>
      <c r="S32" s="266" t="s">
        <v>497</v>
      </c>
    </row>
    <row r="33" spans="1:23" s="218" customFormat="1" ht="73.5" customHeight="1">
      <c r="A33" s="225" t="s">
        <v>298</v>
      </c>
      <c r="B33" s="268">
        <v>3</v>
      </c>
      <c r="C33" s="261" t="s">
        <v>569</v>
      </c>
      <c r="D33" s="159" t="s">
        <v>566</v>
      </c>
      <c r="E33" s="269" t="s">
        <v>500</v>
      </c>
      <c r="F33" s="269">
        <v>17</v>
      </c>
      <c r="G33" s="270" t="s">
        <v>570</v>
      </c>
      <c r="H33" s="265" t="s">
        <v>507</v>
      </c>
      <c r="I33" s="120">
        <v>0</v>
      </c>
      <c r="J33" s="271">
        <v>0.5</v>
      </c>
      <c r="K33" s="258">
        <f t="shared" si="7"/>
        <v>58030</v>
      </c>
      <c r="L33" s="217">
        <v>8704.5</v>
      </c>
      <c r="M33" s="217">
        <v>49325.5</v>
      </c>
      <c r="N33" s="272"/>
      <c r="O33" s="266">
        <f>SUM(L33:N33)</f>
        <v>58030</v>
      </c>
      <c r="P33" s="266" t="s">
        <v>457</v>
      </c>
      <c r="Q33" s="266" t="s">
        <v>497</v>
      </c>
      <c r="R33" s="149"/>
      <c r="S33" s="266" t="s">
        <v>497</v>
      </c>
    </row>
    <row r="34" spans="1:23" s="95" customFormat="1" ht="33" customHeight="1">
      <c r="A34" s="296" t="s">
        <v>343</v>
      </c>
      <c r="B34" s="297"/>
      <c r="C34" s="298"/>
      <c r="D34" s="116"/>
      <c r="E34" s="116"/>
      <c r="F34" s="116"/>
      <c r="G34" s="223"/>
      <c r="H34" s="223"/>
      <c r="I34" s="116"/>
      <c r="J34" s="116"/>
      <c r="K34" s="257" t="e">
        <f>SUBTOTAL(9,K14:K33)</f>
        <v>#REF!</v>
      </c>
      <c r="L34" s="267" t="e">
        <f t="shared" ref="L34:O34" si="8">SUBTOTAL(9,L14:L33)</f>
        <v>#REF!</v>
      </c>
      <c r="M34" s="267" t="e">
        <f t="shared" si="8"/>
        <v>#REF!</v>
      </c>
      <c r="N34" s="267" t="e">
        <f t="shared" si="8"/>
        <v>#REF!</v>
      </c>
      <c r="O34" s="267" t="e">
        <f t="shared" si="8"/>
        <v>#REF!</v>
      </c>
      <c r="P34" s="116"/>
      <c r="Q34" s="116">
        <f>SUM(Q13,Q16,Q20,Q22)</f>
        <v>7605.9616271493123</v>
      </c>
      <c r="R34" s="111">
        <f>SUM(R13,R16,R20,R22)</f>
        <v>45480.841441280492</v>
      </c>
      <c r="S34" s="215" t="s">
        <v>497</v>
      </c>
      <c r="T34" s="37"/>
      <c r="U34" s="37"/>
      <c r="V34" s="37"/>
      <c r="W34" s="37"/>
    </row>
    <row r="35" spans="1:23" ht="35.25" hidden="1" customHeight="1">
      <c r="A35" s="296" t="s">
        <v>352</v>
      </c>
      <c r="B35" s="297"/>
      <c r="C35" s="298"/>
      <c r="D35" s="116"/>
      <c r="E35" s="116"/>
      <c r="F35" s="116"/>
      <c r="G35" s="223"/>
      <c r="H35" s="223"/>
      <c r="I35" s="116"/>
      <c r="J35" s="116"/>
      <c r="K35" s="116" t="e">
        <f t="shared" ref="K35:M35" si="9">K23</f>
        <v>#REF!</v>
      </c>
      <c r="L35" s="116" t="e">
        <f t="shared" si="9"/>
        <v>#REF!</v>
      </c>
      <c r="M35" s="116" t="e">
        <f t="shared" si="9"/>
        <v>#REF!</v>
      </c>
      <c r="N35" s="142" t="e">
        <f t="shared" ref="N35:O35" si="10">N23</f>
        <v>#REF!</v>
      </c>
      <c r="O35" s="142" t="e">
        <f t="shared" si="10"/>
        <v>#REF!</v>
      </c>
      <c r="P35" s="116"/>
      <c r="Q35" s="116" t="e">
        <f>Q23</f>
        <v>#REF!</v>
      </c>
      <c r="R35" s="111" t="e">
        <f>R23</f>
        <v>#REF!</v>
      </c>
      <c r="S35" s="213"/>
    </row>
    <row r="36" spans="1:23" ht="23.25" hidden="1" customHeight="1">
      <c r="A36" s="296" t="s">
        <v>353</v>
      </c>
      <c r="B36" s="297"/>
      <c r="C36" s="298"/>
      <c r="D36" s="116"/>
      <c r="E36" s="116"/>
      <c r="F36" s="116"/>
      <c r="G36" s="223"/>
      <c r="H36" s="223"/>
      <c r="I36" s="116"/>
      <c r="J36" s="116"/>
      <c r="K36" s="116" t="e">
        <f t="shared" ref="K36:O36" si="11">SUM(K24+K17)</f>
        <v>#REF!</v>
      </c>
      <c r="L36" s="116" t="e">
        <f t="shared" si="11"/>
        <v>#REF!</v>
      </c>
      <c r="M36" s="116" t="e">
        <f t="shared" si="11"/>
        <v>#REF!</v>
      </c>
      <c r="N36" s="142" t="e">
        <f t="shared" si="11"/>
        <v>#REF!</v>
      </c>
      <c r="O36" s="142" t="e">
        <f t="shared" si="11"/>
        <v>#REF!</v>
      </c>
      <c r="P36" s="116"/>
      <c r="Q36" s="116" t="e">
        <f>SUM(Q24+Q17)</f>
        <v>#REF!</v>
      </c>
      <c r="R36" s="111" t="e">
        <f>SUM(R24+R17)</f>
        <v>#REF!</v>
      </c>
      <c r="S36" s="213"/>
    </row>
    <row r="37" spans="1:23" ht="32.25" hidden="1" customHeight="1">
      <c r="A37" s="296" t="s">
        <v>354</v>
      </c>
      <c r="B37" s="297"/>
      <c r="C37" s="298"/>
      <c r="D37" s="116"/>
      <c r="E37" s="116"/>
      <c r="F37" s="116"/>
      <c r="G37" s="223"/>
      <c r="H37" s="223"/>
      <c r="I37" s="116"/>
      <c r="J37" s="116"/>
      <c r="K37" s="116" t="e">
        <f t="shared" ref="K37:O37" si="12">K25+K18</f>
        <v>#REF!</v>
      </c>
      <c r="L37" s="199" t="e">
        <f t="shared" si="12"/>
        <v>#REF!</v>
      </c>
      <c r="M37" s="199" t="e">
        <f t="shared" si="12"/>
        <v>#REF!</v>
      </c>
      <c r="N37" s="199" t="e">
        <f t="shared" si="12"/>
        <v>#REF!</v>
      </c>
      <c r="O37" s="199" t="e">
        <f t="shared" si="12"/>
        <v>#REF!</v>
      </c>
      <c r="P37" s="199"/>
      <c r="Q37" s="199" t="e">
        <f>Q25+Q18</f>
        <v>#REF!</v>
      </c>
      <c r="R37" s="199" t="e">
        <f>R25+R18</f>
        <v>#REF!</v>
      </c>
      <c r="S37" s="213"/>
    </row>
    <row r="38" spans="1:23" ht="15.75" hidden="1" customHeight="1">
      <c r="A38" s="296" t="s">
        <v>356</v>
      </c>
      <c r="B38" s="297"/>
      <c r="C38" s="298"/>
      <c r="D38" s="116"/>
      <c r="E38" s="116"/>
      <c r="F38" s="116"/>
      <c r="G38" s="223"/>
      <c r="H38" s="223"/>
      <c r="I38" s="116"/>
      <c r="J38" s="116"/>
      <c r="K38" s="116">
        <f t="shared" ref="K38:M38" si="13">K26</f>
        <v>190480.5055</v>
      </c>
      <c r="L38" s="116">
        <f t="shared" si="13"/>
        <v>0</v>
      </c>
      <c r="M38" s="116">
        <f t="shared" si="13"/>
        <v>190480.5055</v>
      </c>
      <c r="N38" s="142" t="e">
        <f t="shared" ref="N38:O38" si="14">N26</f>
        <v>#REF!</v>
      </c>
      <c r="O38" s="142">
        <f t="shared" si="14"/>
        <v>190480.5055</v>
      </c>
      <c r="P38" s="116"/>
      <c r="Q38" s="116">
        <f>Q26</f>
        <v>154.92832161538277</v>
      </c>
      <c r="R38" s="111">
        <f>R26</f>
        <v>774.64160807691383</v>
      </c>
      <c r="S38" s="213"/>
    </row>
    <row r="39" spans="1:23" ht="15" customHeight="1">
      <c r="A39" s="295"/>
      <c r="B39" s="295"/>
      <c r="C39" s="295"/>
      <c r="D39" s="295"/>
      <c r="E39" s="295"/>
      <c r="F39" s="15"/>
      <c r="G39" s="125"/>
      <c r="H39" s="125"/>
      <c r="I39" s="15"/>
      <c r="J39" s="15"/>
      <c r="K39" s="15"/>
      <c r="O39" s="125"/>
    </row>
    <row r="40" spans="1:23" hidden="1"/>
    <row r="41" spans="1:23" hidden="1"/>
    <row r="42" spans="1:23" hidden="1"/>
    <row r="43" spans="1:23" hidden="1"/>
    <row r="44" spans="1:23" hidden="1"/>
    <row r="45" spans="1:23" hidden="1"/>
    <row r="48" spans="1:23">
      <c r="R48" s="17">
        <v>472582.64317557</v>
      </c>
    </row>
  </sheetData>
  <autoFilter ref="A13:AN38">
    <filterColumn colId="0" showButton="0"/>
    <filterColumn colId="1" showButton="0"/>
    <filterColumn colId="18">
      <customFilters>
        <customFilter operator="notEqual" val=" "/>
      </customFilters>
    </filterColumn>
  </autoFilter>
  <mergeCells count="35">
    <mergeCell ref="P8:R8"/>
    <mergeCell ref="G9:G11"/>
    <mergeCell ref="H9:H11"/>
    <mergeCell ref="Q9:Q11"/>
    <mergeCell ref="P9:P11"/>
    <mergeCell ref="K9:K11"/>
    <mergeCell ref="J9:J11"/>
    <mergeCell ref="I9:I11"/>
    <mergeCell ref="R9:R11"/>
    <mergeCell ref="L9:N9"/>
    <mergeCell ref="O9:O10"/>
    <mergeCell ref="C9:C11"/>
    <mergeCell ref="B9:B11"/>
    <mergeCell ref="A22:C22"/>
    <mergeCell ref="A8:O8"/>
    <mergeCell ref="A9:A11"/>
    <mergeCell ref="E9:F10"/>
    <mergeCell ref="D9:D11"/>
    <mergeCell ref="A18:C18"/>
    <mergeCell ref="S9:S11"/>
    <mergeCell ref="A39:E39"/>
    <mergeCell ref="A35:C35"/>
    <mergeCell ref="A36:C36"/>
    <mergeCell ref="A37:C37"/>
    <mergeCell ref="A38:C38"/>
    <mergeCell ref="A23:C23"/>
    <mergeCell ref="A24:C24"/>
    <mergeCell ref="A25:C25"/>
    <mergeCell ref="A26:C26"/>
    <mergeCell ref="A34:C34"/>
    <mergeCell ref="A13:C13"/>
    <mergeCell ref="A16:C16"/>
    <mergeCell ref="A12:Q12"/>
    <mergeCell ref="A17:C17"/>
    <mergeCell ref="A20:C20"/>
  </mergeCells>
  <pageMargins left="0.23622047244094491" right="0.23622047244094491" top="0.74803149606299213" bottom="0.74803149606299213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L80"/>
  <sheetViews>
    <sheetView tabSelected="1" zoomScale="70" zoomScaleNormal="70" zoomScaleSheetLayoutView="70" workbookViewId="0">
      <pane xSplit="3" ySplit="11" topLeftCell="D39" activePane="bottomRight" state="frozen"/>
      <selection activeCell="I30" sqref="I30:J38"/>
      <selection pane="topRight" activeCell="I30" sqref="I30:J38"/>
      <selection pane="bottomLeft" activeCell="I30" sqref="I30:J38"/>
      <selection pane="bottomRight" activeCell="L39" sqref="L39"/>
    </sheetView>
  </sheetViews>
  <sheetFormatPr defaultRowHeight="15"/>
  <cols>
    <col min="1" max="1" width="4.85546875" style="157" customWidth="1"/>
    <col min="2" max="2" width="4.42578125" style="125" customWidth="1"/>
    <col min="3" max="3" width="45.140625" style="146" customWidth="1"/>
    <col min="4" max="4" width="56.7109375" style="160" customWidth="1"/>
    <col min="5" max="5" width="6.85546875" style="91" customWidth="1"/>
    <col min="6" max="6" width="8" style="91" customWidth="1"/>
    <col min="7" max="7" width="16.42578125" style="222" customWidth="1"/>
    <col min="8" max="8" width="8" style="222" customWidth="1"/>
    <col min="9" max="9" width="8" style="91" customWidth="1"/>
    <col min="10" max="10" width="7.28515625" style="91" customWidth="1"/>
    <col min="11" max="11" width="16.42578125" style="91" customWidth="1"/>
    <col min="12" max="12" width="10.85546875" style="156" customWidth="1"/>
    <col min="13" max="13" width="11.7109375" style="164" customWidth="1"/>
    <col min="14" max="14" width="9.7109375" style="156" customWidth="1"/>
    <col min="15" max="15" width="10.85546875" style="125" customWidth="1"/>
    <col min="16" max="16" width="18.140625" style="125" customWidth="1"/>
    <col min="17" max="17" width="15.140625" style="156" customWidth="1"/>
    <col min="18" max="19" width="15.28515625" style="156" customWidth="1"/>
    <col min="20" max="25" width="9.140625" style="125"/>
    <col min="26" max="26" width="15.7109375" style="125" customWidth="1"/>
    <col min="27" max="27" width="9.140625" style="125"/>
    <col min="28" max="28" width="15.42578125" style="125" customWidth="1"/>
    <col min="29" max="16384" width="9.140625" style="125"/>
  </cols>
  <sheetData>
    <row r="1" spans="1:33" ht="23.25">
      <c r="A1" s="92"/>
      <c r="B1" s="243" t="s">
        <v>541</v>
      </c>
      <c r="C1" s="244"/>
      <c r="D1" s="18"/>
      <c r="E1" s="18"/>
      <c r="F1" s="241"/>
      <c r="G1" s="241"/>
      <c r="H1" s="243" t="s">
        <v>541</v>
      </c>
      <c r="I1" s="241"/>
      <c r="J1" s="241"/>
      <c r="K1" s="115"/>
      <c r="L1" s="214"/>
      <c r="M1" s="214"/>
      <c r="N1" s="214"/>
      <c r="O1" s="218"/>
      <c r="Q1" s="214"/>
      <c r="R1" s="214"/>
      <c r="S1" s="248"/>
    </row>
    <row r="2" spans="1:33" ht="23.25">
      <c r="A2" s="92"/>
      <c r="B2" s="245" t="s">
        <v>551</v>
      </c>
      <c r="C2" s="245"/>
      <c r="D2" s="18"/>
      <c r="E2" s="18"/>
      <c r="F2" s="241"/>
      <c r="G2" s="241"/>
      <c r="H2" s="245" t="s">
        <v>558</v>
      </c>
      <c r="I2" s="241"/>
      <c r="J2" s="241"/>
      <c r="K2" s="115"/>
      <c r="L2" s="214"/>
      <c r="M2" s="214"/>
      <c r="N2" s="214"/>
      <c r="O2" s="218"/>
      <c r="Q2" s="214"/>
      <c r="R2" s="214"/>
      <c r="S2" s="248"/>
    </row>
    <row r="3" spans="1:33" ht="23.25">
      <c r="A3" s="92"/>
      <c r="B3" s="245" t="s">
        <v>542</v>
      </c>
      <c r="C3" s="245"/>
      <c r="D3" s="18"/>
      <c r="E3" s="18"/>
      <c r="F3" s="241"/>
      <c r="G3" s="241"/>
      <c r="H3" s="245" t="s">
        <v>559</v>
      </c>
      <c r="I3" s="241"/>
      <c r="J3" s="241"/>
      <c r="K3" s="115"/>
      <c r="L3" s="214"/>
      <c r="M3" s="214"/>
      <c r="N3" s="214"/>
      <c r="O3" s="218"/>
      <c r="Q3" s="214"/>
      <c r="R3" s="214"/>
      <c r="S3" s="248"/>
    </row>
    <row r="4" spans="1:33" ht="23.25">
      <c r="A4" s="92"/>
      <c r="B4" s="243" t="s">
        <v>345</v>
      </c>
      <c r="C4" s="244"/>
      <c r="D4" s="18"/>
      <c r="E4" s="18"/>
      <c r="F4" s="241"/>
      <c r="G4" s="241"/>
      <c r="H4" s="243" t="s">
        <v>345</v>
      </c>
      <c r="I4" s="241"/>
      <c r="J4" s="241"/>
      <c r="K4" s="115"/>
      <c r="L4" s="214"/>
      <c r="M4" s="214"/>
      <c r="N4" s="214"/>
      <c r="O4" s="218"/>
      <c r="Q4" s="214"/>
      <c r="R4" s="214"/>
      <c r="S4" s="248"/>
    </row>
    <row r="5" spans="1:33" ht="23.25">
      <c r="A5" s="92"/>
      <c r="B5" s="243" t="s">
        <v>543</v>
      </c>
      <c r="C5" s="243"/>
      <c r="D5" s="18"/>
      <c r="E5" s="18"/>
      <c r="F5" s="241"/>
      <c r="G5" s="241"/>
      <c r="H5" s="243" t="s">
        <v>560</v>
      </c>
      <c r="I5" s="241"/>
      <c r="J5" s="241"/>
      <c r="K5" s="115"/>
      <c r="L5" s="214"/>
      <c r="M5" s="214"/>
      <c r="N5" s="214"/>
      <c r="O5" s="218"/>
      <c r="Q5" s="214"/>
      <c r="R5" s="214"/>
      <c r="S5" s="248"/>
    </row>
    <row r="6" spans="1:33" ht="23.25">
      <c r="A6" s="92"/>
      <c r="B6" s="243" t="s">
        <v>552</v>
      </c>
      <c r="C6" s="243"/>
      <c r="D6" s="18"/>
      <c r="E6" s="18"/>
      <c r="F6" s="241"/>
      <c r="G6" s="241"/>
      <c r="H6" s="243" t="s">
        <v>552</v>
      </c>
      <c r="I6" s="241"/>
      <c r="J6" s="241"/>
      <c r="K6" s="115"/>
      <c r="L6" s="214"/>
      <c r="M6" s="214"/>
      <c r="N6" s="214"/>
      <c r="O6" s="218"/>
      <c r="Q6" s="214"/>
      <c r="R6" s="214"/>
      <c r="S6" s="248"/>
    </row>
    <row r="7" spans="1:33" ht="18.75">
      <c r="A7" s="92"/>
      <c r="B7" s="246"/>
      <c r="C7" s="247"/>
      <c r="D7" s="18"/>
      <c r="E7" s="18"/>
      <c r="F7" s="241"/>
      <c r="G7" s="241"/>
      <c r="H7" s="241"/>
      <c r="I7" s="241"/>
      <c r="J7" s="241"/>
      <c r="K7" s="115"/>
      <c r="L7" s="214"/>
      <c r="M7" s="214"/>
      <c r="N7" s="214"/>
      <c r="O7" s="218"/>
      <c r="Q7" s="214"/>
      <c r="R7" s="214"/>
      <c r="S7" s="249"/>
    </row>
    <row r="8" spans="1:33" ht="25.5" customHeight="1">
      <c r="A8" s="306" t="s">
        <v>544</v>
      </c>
      <c r="B8" s="306"/>
      <c r="C8" s="306"/>
      <c r="D8" s="306"/>
      <c r="E8" s="306"/>
      <c r="F8" s="306"/>
      <c r="G8" s="306"/>
      <c r="H8" s="306"/>
      <c r="I8" s="306"/>
      <c r="J8" s="306"/>
      <c r="K8" s="306"/>
      <c r="L8" s="306"/>
      <c r="M8" s="306"/>
      <c r="N8" s="306"/>
      <c r="O8" s="306"/>
      <c r="P8" s="306"/>
      <c r="Q8" s="306"/>
      <c r="R8" s="306"/>
      <c r="S8" s="125"/>
    </row>
    <row r="9" spans="1:33" ht="18" customHeight="1">
      <c r="A9" s="307" t="s">
        <v>362</v>
      </c>
      <c r="B9" s="303" t="s">
        <v>561</v>
      </c>
      <c r="C9" s="310" t="s">
        <v>280</v>
      </c>
      <c r="D9" s="322" t="s">
        <v>329</v>
      </c>
      <c r="E9" s="325" t="s">
        <v>330</v>
      </c>
      <c r="F9" s="326"/>
      <c r="G9" s="310" t="s">
        <v>504</v>
      </c>
      <c r="H9" s="310" t="s">
        <v>506</v>
      </c>
      <c r="I9" s="310" t="s">
        <v>334</v>
      </c>
      <c r="J9" s="310" t="s">
        <v>333</v>
      </c>
      <c r="K9" s="310" t="s">
        <v>335</v>
      </c>
      <c r="L9" s="343"/>
      <c r="M9" s="344"/>
      <c r="N9" s="344"/>
      <c r="O9" s="326" t="s">
        <v>571</v>
      </c>
      <c r="P9" s="329" t="s">
        <v>341</v>
      </c>
      <c r="Q9" s="332" t="s">
        <v>446</v>
      </c>
      <c r="R9" s="332" t="s">
        <v>359</v>
      </c>
      <c r="S9" s="332" t="s">
        <v>494</v>
      </c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6"/>
    </row>
    <row r="10" spans="1:33" ht="27.75" customHeight="1">
      <c r="A10" s="308"/>
      <c r="B10" s="304"/>
      <c r="C10" s="311"/>
      <c r="D10" s="323"/>
      <c r="E10" s="327"/>
      <c r="F10" s="328"/>
      <c r="G10" s="311"/>
      <c r="H10" s="311"/>
      <c r="I10" s="311"/>
      <c r="J10" s="311"/>
      <c r="K10" s="311"/>
      <c r="L10" s="135">
        <v>2019</v>
      </c>
      <c r="M10" s="162">
        <v>2020</v>
      </c>
      <c r="N10" s="135">
        <v>2021</v>
      </c>
      <c r="O10" s="328"/>
      <c r="P10" s="330"/>
      <c r="Q10" s="333"/>
      <c r="R10" s="333"/>
      <c r="S10" s="333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7"/>
      <c r="AG10" s="186"/>
    </row>
    <row r="11" spans="1:33" ht="57" customHeight="1">
      <c r="A11" s="309"/>
      <c r="B11" s="305"/>
      <c r="C11" s="312"/>
      <c r="D11" s="324"/>
      <c r="E11" s="143" t="s">
        <v>331</v>
      </c>
      <c r="F11" s="143" t="s">
        <v>332</v>
      </c>
      <c r="G11" s="312"/>
      <c r="H11" s="312"/>
      <c r="I11" s="312"/>
      <c r="J11" s="312"/>
      <c r="K11" s="312"/>
      <c r="L11" s="144" t="s">
        <v>336</v>
      </c>
      <c r="M11" s="36" t="s">
        <v>336</v>
      </c>
      <c r="N11" s="144" t="s">
        <v>336</v>
      </c>
      <c r="O11" s="144" t="s">
        <v>336</v>
      </c>
      <c r="P11" s="331"/>
      <c r="Q11" s="334"/>
      <c r="R11" s="334"/>
      <c r="S11" s="334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187"/>
      <c r="AG11" s="186"/>
    </row>
    <row r="12" spans="1:33" ht="12" customHeight="1">
      <c r="A12" s="209"/>
      <c r="B12" s="210"/>
      <c r="C12" s="207"/>
      <c r="D12" s="206"/>
      <c r="E12" s="202"/>
      <c r="F12" s="202"/>
      <c r="G12" s="224"/>
      <c r="H12" s="224"/>
      <c r="I12" s="205"/>
      <c r="J12" s="205"/>
      <c r="K12" s="205"/>
      <c r="L12" s="203"/>
      <c r="M12" s="36"/>
      <c r="N12" s="203"/>
      <c r="O12" s="203"/>
      <c r="P12" s="208"/>
      <c r="Q12" s="204"/>
      <c r="R12" s="204"/>
      <c r="S12" s="212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  <c r="AF12" s="187"/>
      <c r="AG12" s="186"/>
    </row>
    <row r="13" spans="1:33" ht="11.25" hidden="1" customHeight="1">
      <c r="A13" s="335" t="s">
        <v>345</v>
      </c>
      <c r="B13" s="336"/>
      <c r="C13" s="298"/>
      <c r="D13" s="106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  <c r="AF13" s="187"/>
      <c r="AG13" s="186"/>
    </row>
    <row r="14" spans="1:33" s="93" customFormat="1" ht="15" hidden="1" customHeight="1">
      <c r="A14" s="299" t="s">
        <v>281</v>
      </c>
      <c r="B14" s="300"/>
      <c r="C14" s="301"/>
      <c r="D14" s="158"/>
      <c r="E14" s="152"/>
      <c r="F14" s="152"/>
      <c r="G14" s="152"/>
      <c r="H14" s="152"/>
      <c r="I14" s="152"/>
      <c r="J14" s="152"/>
      <c r="K14" s="152" t="e">
        <f>#REF!+L14+M14</f>
        <v>#REF!</v>
      </c>
      <c r="L14" s="152" t="e">
        <f>M14+N14+#REF!+#REF!+#REF!+#REF!</f>
        <v>#REF!</v>
      </c>
      <c r="M14" s="152" t="e">
        <f>N14+#REF!+#REF!+#REF!+#REF!+O14</f>
        <v>#REF!</v>
      </c>
      <c r="N14" s="152" t="e">
        <f>#REF!+#REF!+#REF!+#REF!+O14+P14</f>
        <v>#REF!</v>
      </c>
      <c r="O14" s="152" t="e">
        <f>P14+Q14+R14+S14+#REF!+#REF!</f>
        <v>#REF!</v>
      </c>
      <c r="P14" s="152"/>
      <c r="Q14" s="152" t="e">
        <f>R14+S14+#REF!+#REF!+T14+U14</f>
        <v>#REF!</v>
      </c>
      <c r="R14" s="152" t="e">
        <f>S14+#REF!+#REF!+T14+U14+V14</f>
        <v>#REF!</v>
      </c>
      <c r="S14" s="152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6"/>
    </row>
    <row r="15" spans="1:33" s="93" customFormat="1" ht="19.5" hidden="1" customHeight="1">
      <c r="A15" s="299" t="s">
        <v>282</v>
      </c>
      <c r="B15" s="300"/>
      <c r="C15" s="301"/>
      <c r="D15" s="98"/>
      <c r="E15" s="98"/>
      <c r="F15" s="98"/>
      <c r="G15" s="152"/>
      <c r="H15" s="152"/>
      <c r="I15" s="98"/>
      <c r="J15" s="98"/>
      <c r="K15" s="98">
        <f t="shared" ref="K15:O15" si="0">SUM(K20:K25)</f>
        <v>437005.33431897743</v>
      </c>
      <c r="L15" s="152">
        <f t="shared" si="0"/>
        <v>75390.614635772217</v>
      </c>
      <c r="M15" s="152">
        <f t="shared" si="0"/>
        <v>229663.54828320516</v>
      </c>
      <c r="N15" s="152">
        <f t="shared" si="0"/>
        <v>129301.17140000001</v>
      </c>
      <c r="O15" s="152">
        <f t="shared" si="0"/>
        <v>434355.33431897743</v>
      </c>
      <c r="P15" s="152"/>
      <c r="Q15" s="152">
        <f>SUM(Q20:Q25)</f>
        <v>5921.0224051184605</v>
      </c>
      <c r="R15" s="152">
        <f>SUM(R20:R25)</f>
        <v>30414.641683132249</v>
      </c>
      <c r="S15" s="152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187"/>
      <c r="AE15" s="187"/>
      <c r="AF15" s="187"/>
      <c r="AG15" s="186"/>
    </row>
    <row r="16" spans="1:33" s="93" customFormat="1" ht="11.25" hidden="1" customHeight="1">
      <c r="A16" s="299" t="s">
        <v>378</v>
      </c>
      <c r="B16" s="300"/>
      <c r="C16" s="301"/>
      <c r="D16" s="158"/>
      <c r="E16" s="152"/>
      <c r="F16" s="152"/>
      <c r="G16" s="152"/>
      <c r="H16" s="152"/>
      <c r="I16" s="152"/>
      <c r="J16" s="152"/>
      <c r="K16" s="152" t="e">
        <f>#REF!+K20+K22+K24+#REF!+K25+#REF!</f>
        <v>#REF!</v>
      </c>
      <c r="L16" s="152" t="e">
        <f>#REF!+L20+L22+L24+#REF!+L25+#REF!</f>
        <v>#REF!</v>
      </c>
      <c r="M16" s="152" t="e">
        <f>#REF!+M20+M22+M24+#REF!+M25+#REF!</f>
        <v>#REF!</v>
      </c>
      <c r="N16" s="152" t="e">
        <f>#REF!+N20+N22+N24+#REF!+N25+#REF!</f>
        <v>#REF!</v>
      </c>
      <c r="O16" s="152" t="e">
        <f>#REF!+O20+O22+O24+#REF!+O25+#REF!</f>
        <v>#REF!</v>
      </c>
      <c r="P16" s="152"/>
      <c r="Q16" s="152" t="e">
        <f>#REF!+Q20+Q22+Q24+#REF!+Q25+#REF!</f>
        <v>#REF!</v>
      </c>
      <c r="R16" s="152" t="e">
        <f>#REF!+R20+R22+R24+#REF!+R25+#REF!</f>
        <v>#REF!</v>
      </c>
      <c r="S16" s="152" t="s">
        <v>347</v>
      </c>
      <c r="T16" s="187"/>
      <c r="U16" s="187"/>
      <c r="V16" s="187"/>
      <c r="W16" s="187"/>
      <c r="X16" s="187"/>
      <c r="Y16" s="187"/>
      <c r="Z16" s="187"/>
      <c r="AA16" s="187"/>
      <c r="AB16" s="187"/>
      <c r="AC16" s="187"/>
      <c r="AD16" s="187"/>
      <c r="AE16" s="187"/>
      <c r="AF16" s="187"/>
      <c r="AG16" s="186"/>
    </row>
    <row r="17" spans="1:220" s="93" customFormat="1" ht="11.25" hidden="1" customHeight="1">
      <c r="A17" s="299" t="s">
        <v>379</v>
      </c>
      <c r="B17" s="300"/>
      <c r="C17" s="301"/>
      <c r="D17" s="98"/>
      <c r="E17" s="98"/>
      <c r="F17" s="98"/>
      <c r="G17" s="152"/>
      <c r="H17" s="152"/>
      <c r="I17" s="98"/>
      <c r="J17" s="98"/>
      <c r="K17" s="98" t="e">
        <f>K21+#REF!</f>
        <v>#REF!</v>
      </c>
      <c r="L17" s="152" t="e">
        <f>L21+L38+#REF!</f>
        <v>#REF!</v>
      </c>
      <c r="M17" s="152" t="e">
        <f>M21+M38+#REF!</f>
        <v>#REF!</v>
      </c>
      <c r="N17" s="152" t="e">
        <f>N21+N38+#REF!</f>
        <v>#REF!</v>
      </c>
      <c r="O17" s="152" t="e">
        <f>O21+O38+#REF!</f>
        <v>#REF!</v>
      </c>
      <c r="P17" s="152"/>
      <c r="Q17" s="152" t="e">
        <f>Q21+Q38+#REF!</f>
        <v>#REF!</v>
      </c>
      <c r="R17" s="152" t="e">
        <f>R21+R38+#REF!</f>
        <v>#REF!</v>
      </c>
      <c r="S17" s="152" t="s">
        <v>349</v>
      </c>
      <c r="T17" s="187"/>
      <c r="U17" s="187"/>
      <c r="V17" s="187"/>
      <c r="W17" s="187"/>
      <c r="X17" s="187"/>
      <c r="Y17" s="187"/>
      <c r="Z17" s="187"/>
      <c r="AA17" s="187"/>
      <c r="AB17" s="187"/>
      <c r="AC17" s="187"/>
      <c r="AD17" s="187"/>
      <c r="AE17" s="187"/>
      <c r="AF17" s="187"/>
      <c r="AG17" s="186"/>
    </row>
    <row r="18" spans="1:220" s="93" customFormat="1" ht="15" hidden="1" customHeight="1">
      <c r="A18" s="299" t="s">
        <v>380</v>
      </c>
      <c r="B18" s="300"/>
      <c r="C18" s="301"/>
      <c r="D18" s="98"/>
      <c r="E18" s="98"/>
      <c r="F18" s="98"/>
      <c r="G18" s="152"/>
      <c r="H18" s="152"/>
      <c r="I18" s="98"/>
      <c r="J18" s="98"/>
      <c r="K18" s="98">
        <f>K23</f>
        <v>110524.3759070536</v>
      </c>
      <c r="L18" s="152">
        <f t="shared" ref="L18:R18" si="1">L23</f>
        <v>0</v>
      </c>
      <c r="M18" s="152">
        <f t="shared" si="1"/>
        <v>11461.278907053591</v>
      </c>
      <c r="N18" s="152">
        <f t="shared" si="1"/>
        <v>99063.097000000009</v>
      </c>
      <c r="O18" s="152">
        <f t="shared" si="1"/>
        <v>110524.3759070536</v>
      </c>
      <c r="P18" s="152"/>
      <c r="Q18" s="152">
        <f t="shared" si="1"/>
        <v>2287.2656386462668</v>
      </c>
      <c r="R18" s="152">
        <f t="shared" si="1"/>
        <v>11436.328193231333</v>
      </c>
      <c r="S18" s="152" t="s">
        <v>348</v>
      </c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187"/>
      <c r="AE18" s="187"/>
      <c r="AF18" s="187"/>
      <c r="AG18" s="186"/>
    </row>
    <row r="19" spans="1:220" s="93" customFormat="1" ht="15" hidden="1" customHeight="1">
      <c r="A19" s="299" t="s">
        <v>445</v>
      </c>
      <c r="B19" s="300"/>
      <c r="C19" s="301"/>
      <c r="D19" s="152"/>
      <c r="E19" s="152"/>
      <c r="F19" s="152"/>
      <c r="G19" s="152"/>
      <c r="H19" s="152"/>
      <c r="I19" s="152"/>
      <c r="J19" s="152"/>
      <c r="K19" s="152" t="e">
        <f>#REF!</f>
        <v>#REF!</v>
      </c>
      <c r="L19" s="152" t="e">
        <f>#REF!</f>
        <v>#REF!</v>
      </c>
      <c r="M19" s="152" t="e">
        <f>#REF!</f>
        <v>#REF!</v>
      </c>
      <c r="N19" s="152" t="e">
        <f>#REF!</f>
        <v>#REF!</v>
      </c>
      <c r="O19" s="152" t="e">
        <f>#REF!</f>
        <v>#REF!</v>
      </c>
      <c r="P19" s="152"/>
      <c r="Q19" s="152" t="e">
        <f>#REF!</f>
        <v>#REF!</v>
      </c>
      <c r="R19" s="152" t="e">
        <f>#REF!</f>
        <v>#REF!</v>
      </c>
      <c r="S19" s="152" t="s">
        <v>346</v>
      </c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86"/>
    </row>
    <row r="20" spans="1:220" s="218" customFormat="1" ht="42" customHeight="1">
      <c r="A20" s="225" t="s">
        <v>286</v>
      </c>
      <c r="B20" s="109">
        <v>1</v>
      </c>
      <c r="C20" s="259" t="s">
        <v>459</v>
      </c>
      <c r="D20" s="159" t="s">
        <v>461</v>
      </c>
      <c r="E20" s="220" t="s">
        <v>384</v>
      </c>
      <c r="F20" s="220" t="s">
        <v>462</v>
      </c>
      <c r="G20" s="237" t="s">
        <v>513</v>
      </c>
      <c r="H20" s="220" t="s">
        <v>507</v>
      </c>
      <c r="I20" s="229">
        <v>0</v>
      </c>
      <c r="J20" s="229">
        <v>1</v>
      </c>
      <c r="K20" s="262">
        <f t="shared" ref="K20:K24" si="2">O20</f>
        <v>30979.41463577222</v>
      </c>
      <c r="L20" s="217">
        <v>30979.41463577222</v>
      </c>
      <c r="M20" s="215"/>
      <c r="N20" s="215"/>
      <c r="O20" s="262">
        <f>SUM(L20:N20)</f>
        <v>30979.41463577222</v>
      </c>
      <c r="P20" s="215" t="s">
        <v>458</v>
      </c>
      <c r="Q20" s="215">
        <f>1464.46479047405/2</f>
        <v>732.232395237025</v>
      </c>
      <c r="R20" s="215">
        <v>5125.6267666591748</v>
      </c>
      <c r="S20" s="215" t="s">
        <v>497</v>
      </c>
      <c r="T20" s="230"/>
      <c r="U20" s="230"/>
      <c r="V20" s="230"/>
      <c r="W20" s="230"/>
      <c r="X20" s="230"/>
      <c r="Y20" s="230"/>
      <c r="Z20" s="230"/>
      <c r="AA20" s="230"/>
      <c r="AB20" s="230"/>
      <c r="AC20" s="230"/>
      <c r="AD20" s="230"/>
      <c r="AE20" s="230"/>
      <c r="AF20" s="230"/>
    </row>
    <row r="21" spans="1:220" s="218" customFormat="1" ht="42.75" customHeight="1">
      <c r="A21" s="225" t="s">
        <v>287</v>
      </c>
      <c r="B21" s="109">
        <v>3</v>
      </c>
      <c r="C21" s="259" t="s">
        <v>488</v>
      </c>
      <c r="D21" s="181" t="s">
        <v>383</v>
      </c>
      <c r="E21" s="220" t="s">
        <v>324</v>
      </c>
      <c r="F21" s="220">
        <v>2</v>
      </c>
      <c r="G21" s="237" t="s">
        <v>514</v>
      </c>
      <c r="H21" s="220" t="s">
        <v>507</v>
      </c>
      <c r="I21" s="229">
        <v>0</v>
      </c>
      <c r="J21" s="229">
        <v>1</v>
      </c>
      <c r="K21" s="262">
        <f t="shared" si="2"/>
        <v>22205.599999999999</v>
      </c>
      <c r="L21" s="217">
        <v>22205.599999999999</v>
      </c>
      <c r="M21" s="215"/>
      <c r="N21" s="215"/>
      <c r="O21" s="262">
        <f>SUM(L21:N21)</f>
        <v>22205.599999999999</v>
      </c>
      <c r="P21" s="215" t="s">
        <v>458</v>
      </c>
      <c r="Q21" s="215">
        <v>468.49432703716877</v>
      </c>
      <c r="R21" s="215">
        <v>3279.4602892601815</v>
      </c>
      <c r="S21" s="215" t="s">
        <v>497</v>
      </c>
      <c r="T21" s="230"/>
      <c r="U21" s="230"/>
      <c r="V21" s="230"/>
      <c r="W21" s="230"/>
      <c r="X21" s="230"/>
      <c r="Y21" s="230"/>
      <c r="Z21" s="230"/>
      <c r="AA21" s="230"/>
      <c r="AB21" s="230"/>
      <c r="AC21" s="230"/>
      <c r="AD21" s="230"/>
      <c r="AE21" s="230"/>
      <c r="AF21" s="230"/>
    </row>
    <row r="22" spans="1:220" s="218" customFormat="1" ht="82.5" customHeight="1">
      <c r="A22" s="225" t="s">
        <v>288</v>
      </c>
      <c r="B22" s="109">
        <v>1</v>
      </c>
      <c r="C22" s="259" t="s">
        <v>526</v>
      </c>
      <c r="D22" s="159" t="s">
        <v>464</v>
      </c>
      <c r="E22" s="220" t="s">
        <v>324</v>
      </c>
      <c r="F22" s="220">
        <v>2</v>
      </c>
      <c r="G22" s="237" t="s">
        <v>512</v>
      </c>
      <c r="H22" s="220" t="s">
        <v>507</v>
      </c>
      <c r="I22" s="229">
        <v>0</v>
      </c>
      <c r="J22" s="229">
        <v>1</v>
      </c>
      <c r="K22" s="262">
        <f t="shared" si="2"/>
        <v>22205.599999999999</v>
      </c>
      <c r="L22" s="217">
        <v>22205.599999999999</v>
      </c>
      <c r="M22" s="215"/>
      <c r="N22" s="215"/>
      <c r="O22" s="262">
        <f>SUM(L22:N22)</f>
        <v>22205.599999999999</v>
      </c>
      <c r="P22" s="215" t="s">
        <v>458</v>
      </c>
      <c r="Q22" s="215">
        <v>242.04442001669915</v>
      </c>
      <c r="R22" s="215">
        <v>3279.4602892601815</v>
      </c>
      <c r="S22" s="215" t="s">
        <v>497</v>
      </c>
      <c r="T22" s="230"/>
      <c r="U22" s="230"/>
      <c r="V22" s="230"/>
      <c r="W22" s="230"/>
      <c r="X22" s="230"/>
      <c r="Y22" s="230"/>
      <c r="Z22" s="230"/>
      <c r="AA22" s="230"/>
      <c r="AB22" s="230"/>
      <c r="AC22" s="230"/>
      <c r="AD22" s="230"/>
      <c r="AE22" s="230"/>
      <c r="AF22" s="230"/>
    </row>
    <row r="23" spans="1:220" s="218" customFormat="1" ht="28.5">
      <c r="A23" s="225" t="s">
        <v>437</v>
      </c>
      <c r="B23" s="109">
        <v>6</v>
      </c>
      <c r="C23" s="259" t="s">
        <v>489</v>
      </c>
      <c r="D23" s="181" t="s">
        <v>539</v>
      </c>
      <c r="E23" s="220" t="s">
        <v>324</v>
      </c>
      <c r="F23" s="220">
        <v>5</v>
      </c>
      <c r="G23" s="237" t="s">
        <v>515</v>
      </c>
      <c r="H23" s="220" t="s">
        <v>507</v>
      </c>
      <c r="I23" s="229">
        <v>0</v>
      </c>
      <c r="J23" s="229">
        <v>0</v>
      </c>
      <c r="K23" s="262">
        <f t="shared" si="2"/>
        <v>110524.3759070536</v>
      </c>
      <c r="L23" s="215"/>
      <c r="M23" s="217">
        <v>11461.278907053591</v>
      </c>
      <c r="N23" s="217">
        <v>99063.097000000009</v>
      </c>
      <c r="O23" s="262">
        <f>SUM(L23:N23)</f>
        <v>110524.3759070536</v>
      </c>
      <c r="P23" s="215" t="s">
        <v>458</v>
      </c>
      <c r="Q23" s="215">
        <v>2287.2656386462668</v>
      </c>
      <c r="R23" s="215">
        <f>Q23*5</f>
        <v>11436.328193231333</v>
      </c>
      <c r="S23" s="215" t="s">
        <v>497</v>
      </c>
      <c r="T23" s="230"/>
      <c r="U23" s="230"/>
      <c r="V23" s="230"/>
      <c r="W23" s="230"/>
      <c r="X23" s="230"/>
      <c r="Y23" s="230"/>
      <c r="Z23" s="230"/>
      <c r="AA23" s="230"/>
      <c r="AB23" s="230"/>
      <c r="AC23" s="230"/>
      <c r="AD23" s="230"/>
      <c r="AE23" s="230"/>
      <c r="AF23" s="230"/>
    </row>
    <row r="24" spans="1:220" s="218" customFormat="1" ht="55.5" customHeight="1">
      <c r="A24" s="225" t="s">
        <v>289</v>
      </c>
      <c r="B24" s="109">
        <v>1</v>
      </c>
      <c r="C24" s="259" t="s">
        <v>382</v>
      </c>
      <c r="D24" s="159" t="s">
        <v>540</v>
      </c>
      <c r="E24" s="220" t="s">
        <v>324</v>
      </c>
      <c r="F24" s="220">
        <v>12</v>
      </c>
      <c r="G24" s="237" t="s">
        <v>511</v>
      </c>
      <c r="H24" s="220" t="s">
        <v>507</v>
      </c>
      <c r="I24" s="229">
        <v>0</v>
      </c>
      <c r="J24" s="229">
        <v>0</v>
      </c>
      <c r="K24" s="262">
        <f t="shared" si="2"/>
        <v>248440.3437761516</v>
      </c>
      <c r="L24" s="215"/>
      <c r="M24" s="215">
        <v>218202.26937615158</v>
      </c>
      <c r="N24" s="215">
        <v>30238.074399999998</v>
      </c>
      <c r="O24" s="262">
        <f>SUM(L24:N24)</f>
        <v>248440.3437761516</v>
      </c>
      <c r="P24" s="215" t="s">
        <v>458</v>
      </c>
      <c r="Q24" s="215">
        <v>1458.753228944275</v>
      </c>
      <c r="R24" s="215">
        <f>Q24*5</f>
        <v>7293.766144721375</v>
      </c>
      <c r="S24" s="215" t="s">
        <v>497</v>
      </c>
      <c r="T24" s="230"/>
      <c r="U24" s="230"/>
      <c r="V24" s="230"/>
      <c r="W24" s="230"/>
      <c r="X24" s="230"/>
      <c r="Y24" s="230"/>
      <c r="Z24" s="230"/>
      <c r="AA24" s="230"/>
      <c r="AB24" s="230"/>
      <c r="AC24" s="230"/>
      <c r="AD24" s="230"/>
      <c r="AE24" s="230"/>
      <c r="AF24" s="230"/>
    </row>
    <row r="25" spans="1:220" ht="54" hidden="1" customHeight="1">
      <c r="A25" s="154" t="s">
        <v>482</v>
      </c>
      <c r="B25" s="129">
        <v>1</v>
      </c>
      <c r="C25" s="139" t="s">
        <v>460</v>
      </c>
      <c r="D25" s="131" t="s">
        <v>463</v>
      </c>
      <c r="E25" s="179" t="s">
        <v>324</v>
      </c>
      <c r="F25" s="179">
        <v>2</v>
      </c>
      <c r="G25" s="219"/>
      <c r="H25" s="219"/>
      <c r="I25" s="132">
        <v>0</v>
      </c>
      <c r="J25" s="113">
        <v>0</v>
      </c>
      <c r="K25" s="153">
        <v>2650</v>
      </c>
      <c r="L25" s="153"/>
      <c r="M25" s="151"/>
      <c r="N25" s="153"/>
      <c r="O25" s="215">
        <f>SUM(L25:N25)</f>
        <v>0</v>
      </c>
      <c r="P25" s="151" t="s">
        <v>458</v>
      </c>
      <c r="Q25" s="151">
        <v>732.232395237025</v>
      </c>
      <c r="R25" s="151"/>
      <c r="S25" s="153" t="s">
        <v>495</v>
      </c>
      <c r="T25" s="187"/>
      <c r="U25" s="187"/>
      <c r="V25" s="190"/>
      <c r="W25" s="190"/>
      <c r="X25" s="190"/>
      <c r="Y25" s="190"/>
      <c r="Z25" s="190"/>
      <c r="AA25" s="190"/>
      <c r="AB25" s="190"/>
      <c r="AC25" s="190"/>
      <c r="AD25" s="190"/>
      <c r="AE25" s="190"/>
      <c r="AF25" s="190"/>
      <c r="AG25" s="191"/>
      <c r="AH25" s="101"/>
      <c r="AI25" s="101"/>
      <c r="AJ25" s="101"/>
      <c r="AK25" s="101"/>
      <c r="AL25" s="101"/>
      <c r="AM25" s="101"/>
      <c r="AN25" s="101"/>
    </row>
    <row r="26" spans="1:220" s="93" customFormat="1" ht="15" hidden="1" customHeight="1">
      <c r="A26" s="299" t="s">
        <v>283</v>
      </c>
      <c r="B26" s="300"/>
      <c r="C26" s="301"/>
      <c r="D26" s="158"/>
      <c r="E26" s="121"/>
      <c r="F26" s="121"/>
      <c r="G26" s="121"/>
      <c r="H26" s="121"/>
      <c r="I26" s="121"/>
      <c r="J26" s="121"/>
      <c r="K26" s="152" t="e">
        <f>#REF!+L26+M26</f>
        <v>#REF!</v>
      </c>
      <c r="L26" s="152">
        <v>0</v>
      </c>
      <c r="M26" s="152">
        <v>0</v>
      </c>
      <c r="N26" s="152">
        <v>0</v>
      </c>
      <c r="O26" s="152">
        <v>0</v>
      </c>
      <c r="P26" s="152"/>
      <c r="Q26" s="152">
        <v>0</v>
      </c>
      <c r="R26" s="152">
        <v>0</v>
      </c>
      <c r="S26" s="152"/>
      <c r="T26" s="187"/>
      <c r="U26" s="187"/>
      <c r="V26" s="190"/>
      <c r="W26" s="190"/>
      <c r="X26" s="190"/>
      <c r="Y26" s="190"/>
      <c r="Z26" s="192"/>
      <c r="AA26" s="193"/>
      <c r="AB26" s="194"/>
      <c r="AC26" s="190"/>
      <c r="AD26" s="190"/>
      <c r="AE26" s="190"/>
      <c r="AF26" s="190"/>
      <c r="AG26" s="191"/>
      <c r="AH26" s="102"/>
      <c r="AI26" s="102"/>
      <c r="AJ26" s="102"/>
      <c r="AK26" s="102"/>
      <c r="AL26" s="102"/>
      <c r="AM26" s="102"/>
      <c r="AN26" s="102"/>
      <c r="AO26" s="137"/>
      <c r="AP26" s="137"/>
      <c r="AQ26" s="137"/>
      <c r="AR26" s="137"/>
      <c r="AS26" s="137"/>
      <c r="AT26" s="137"/>
      <c r="AU26" s="137"/>
      <c r="AV26" s="137"/>
      <c r="AW26" s="137"/>
      <c r="AX26" s="137"/>
      <c r="AY26" s="137"/>
      <c r="AZ26" s="137"/>
      <c r="BA26" s="137"/>
      <c r="BB26" s="137"/>
      <c r="BC26" s="137"/>
      <c r="BD26" s="137"/>
      <c r="BE26" s="137"/>
      <c r="BF26" s="137"/>
      <c r="BG26" s="137"/>
      <c r="BH26" s="137"/>
      <c r="BI26" s="137"/>
      <c r="BJ26" s="137"/>
      <c r="BK26" s="137"/>
      <c r="BL26" s="137"/>
      <c r="BM26" s="137"/>
      <c r="BN26" s="137"/>
      <c r="BO26" s="137"/>
      <c r="BP26" s="137"/>
      <c r="BQ26" s="137"/>
      <c r="BR26" s="137"/>
      <c r="BS26" s="137"/>
      <c r="BT26" s="137"/>
      <c r="BU26" s="137"/>
      <c r="BV26" s="137"/>
      <c r="BW26" s="137"/>
      <c r="BX26" s="137"/>
      <c r="BY26" s="137"/>
      <c r="BZ26" s="137"/>
      <c r="CA26" s="137"/>
      <c r="CB26" s="137"/>
      <c r="CC26" s="137"/>
      <c r="CD26" s="137"/>
      <c r="CE26" s="137"/>
      <c r="CF26" s="137"/>
      <c r="CG26" s="137"/>
      <c r="CH26" s="137"/>
      <c r="CI26" s="137"/>
      <c r="CJ26" s="137"/>
      <c r="CK26" s="137"/>
      <c r="CL26" s="137"/>
      <c r="CM26" s="137"/>
      <c r="CN26" s="137"/>
      <c r="CO26" s="137"/>
      <c r="CP26" s="137"/>
      <c r="CQ26" s="137"/>
      <c r="CR26" s="137"/>
      <c r="CS26" s="137"/>
      <c r="CT26" s="137"/>
      <c r="CU26" s="137"/>
      <c r="CV26" s="137"/>
      <c r="CW26" s="137"/>
      <c r="CX26" s="137"/>
      <c r="CY26" s="137"/>
      <c r="CZ26" s="137"/>
      <c r="DA26" s="137"/>
      <c r="DB26" s="137"/>
      <c r="DC26" s="137"/>
      <c r="DD26" s="137"/>
      <c r="DE26" s="137"/>
      <c r="DF26" s="137"/>
      <c r="DG26" s="137"/>
      <c r="DH26" s="137"/>
      <c r="DI26" s="137"/>
      <c r="DJ26" s="137"/>
      <c r="DK26" s="137"/>
      <c r="DL26" s="137"/>
      <c r="DM26" s="137"/>
      <c r="DN26" s="137"/>
      <c r="DO26" s="137"/>
      <c r="DP26" s="137"/>
      <c r="DQ26" s="137"/>
      <c r="DR26" s="137"/>
      <c r="DS26" s="137"/>
      <c r="DT26" s="137"/>
      <c r="DU26" s="137"/>
      <c r="DV26" s="137"/>
      <c r="DW26" s="137"/>
      <c r="DX26" s="137"/>
      <c r="DY26" s="137"/>
      <c r="DZ26" s="137"/>
      <c r="EA26" s="137"/>
      <c r="EB26" s="137"/>
      <c r="EC26" s="137"/>
      <c r="ED26" s="137"/>
      <c r="EE26" s="137"/>
      <c r="EF26" s="137"/>
      <c r="EG26" s="137"/>
      <c r="EH26" s="137"/>
      <c r="EI26" s="137"/>
      <c r="EJ26" s="137"/>
      <c r="EK26" s="137"/>
      <c r="EL26" s="137"/>
      <c r="EM26" s="137"/>
      <c r="EN26" s="137"/>
      <c r="EO26" s="137"/>
      <c r="EP26" s="137"/>
      <c r="EQ26" s="137"/>
      <c r="ER26" s="137"/>
      <c r="ES26" s="137"/>
      <c r="ET26" s="137"/>
      <c r="EU26" s="137"/>
      <c r="EV26" s="137"/>
      <c r="EW26" s="137"/>
      <c r="EX26" s="137"/>
      <c r="EY26" s="137"/>
      <c r="EZ26" s="137"/>
      <c r="FA26" s="137"/>
      <c r="FB26" s="137"/>
      <c r="FC26" s="137"/>
      <c r="FD26" s="137"/>
      <c r="FE26" s="137"/>
      <c r="FF26" s="137"/>
      <c r="FG26" s="137"/>
      <c r="FH26" s="137"/>
      <c r="FI26" s="137"/>
      <c r="FJ26" s="137"/>
      <c r="FK26" s="137"/>
      <c r="FL26" s="137"/>
      <c r="FM26" s="137"/>
      <c r="FN26" s="137"/>
      <c r="FO26" s="137"/>
      <c r="FP26" s="137"/>
      <c r="FQ26" s="137"/>
      <c r="FR26" s="137"/>
      <c r="FS26" s="137"/>
      <c r="FT26" s="137"/>
      <c r="FU26" s="137"/>
      <c r="FV26" s="137"/>
      <c r="FW26" s="137"/>
      <c r="FX26" s="137"/>
      <c r="FY26" s="137"/>
      <c r="FZ26" s="137"/>
      <c r="GA26" s="137"/>
      <c r="GB26" s="137"/>
      <c r="GC26" s="137"/>
      <c r="GD26" s="137"/>
      <c r="GE26" s="137"/>
      <c r="GF26" s="137"/>
      <c r="GG26" s="137"/>
      <c r="GH26" s="137"/>
      <c r="GI26" s="137"/>
      <c r="GJ26" s="137"/>
      <c r="GK26" s="137"/>
      <c r="GL26" s="137"/>
      <c r="GM26" s="137"/>
      <c r="GN26" s="137"/>
      <c r="GO26" s="137"/>
      <c r="GP26" s="137"/>
      <c r="GQ26" s="137"/>
      <c r="GR26" s="137"/>
      <c r="GS26" s="137"/>
      <c r="GT26" s="137"/>
      <c r="GU26" s="137"/>
      <c r="GV26" s="137"/>
      <c r="GW26" s="137"/>
      <c r="GX26" s="137"/>
      <c r="GY26" s="137"/>
      <c r="GZ26" s="137"/>
      <c r="HA26" s="137"/>
      <c r="HB26" s="137"/>
      <c r="HC26" s="137"/>
      <c r="HD26" s="137"/>
      <c r="HE26" s="137"/>
      <c r="HF26" s="137"/>
      <c r="HG26" s="137"/>
      <c r="HH26" s="137"/>
      <c r="HI26" s="137"/>
      <c r="HJ26" s="137"/>
      <c r="HK26" s="137"/>
      <c r="HL26" s="137"/>
    </row>
    <row r="27" spans="1:220" s="93" customFormat="1" ht="15" hidden="1" customHeight="1">
      <c r="A27" s="299" t="s">
        <v>284</v>
      </c>
      <c r="B27" s="300"/>
      <c r="C27" s="301"/>
      <c r="D27" s="107"/>
      <c r="E27" s="121"/>
      <c r="F27" s="121"/>
      <c r="G27" s="121"/>
      <c r="H27" s="121"/>
      <c r="I27" s="121"/>
      <c r="J27" s="121"/>
      <c r="K27" s="152">
        <f t="shared" ref="K27:O27" si="3">SUM(K34:K65)</f>
        <v>1734080.6944347026</v>
      </c>
      <c r="L27" s="152">
        <f t="shared" si="3"/>
        <v>294908.40642711747</v>
      </c>
      <c r="M27" s="152">
        <f t="shared" si="3"/>
        <v>962482.76364374021</v>
      </c>
      <c r="N27" s="152">
        <f t="shared" si="3"/>
        <v>402653.96660492267</v>
      </c>
      <c r="O27" s="152">
        <f t="shared" si="3"/>
        <v>1660045.1366757804</v>
      </c>
      <c r="P27" s="152"/>
      <c r="Q27" s="152">
        <f>SUM(Q34:Q65)</f>
        <v>14118.601516050485</v>
      </c>
      <c r="R27" s="152">
        <f>SUM(R34:R65)</f>
        <v>72051.896296526771</v>
      </c>
      <c r="S27" s="152"/>
      <c r="T27" s="187"/>
      <c r="U27" s="187"/>
      <c r="V27" s="190"/>
      <c r="W27" s="190"/>
      <c r="X27" s="190"/>
      <c r="Y27" s="190"/>
      <c r="Z27" s="192"/>
      <c r="AA27" s="193"/>
      <c r="AB27" s="195"/>
      <c r="AC27" s="190"/>
      <c r="AD27" s="190"/>
      <c r="AE27" s="190"/>
      <c r="AF27" s="190"/>
      <c r="AG27" s="191"/>
      <c r="AH27" s="102"/>
      <c r="AI27" s="102"/>
      <c r="AJ27" s="102"/>
      <c r="AK27" s="102"/>
      <c r="AL27" s="102"/>
      <c r="AM27" s="102"/>
      <c r="AN27" s="102"/>
      <c r="AO27" s="137"/>
      <c r="AP27" s="137"/>
      <c r="AQ27" s="137"/>
      <c r="AR27" s="137"/>
      <c r="AS27" s="137"/>
      <c r="AT27" s="137"/>
      <c r="AU27" s="137"/>
      <c r="AV27" s="137"/>
      <c r="AW27" s="137"/>
      <c r="AX27" s="137"/>
      <c r="AY27" s="137"/>
      <c r="AZ27" s="137"/>
      <c r="BA27" s="137"/>
      <c r="BB27" s="137"/>
      <c r="BC27" s="137"/>
      <c r="BD27" s="137"/>
      <c r="BE27" s="137"/>
      <c r="BF27" s="137"/>
      <c r="BG27" s="137"/>
      <c r="BH27" s="137"/>
      <c r="BI27" s="137"/>
      <c r="BJ27" s="137"/>
      <c r="BK27" s="137"/>
      <c r="BL27" s="137"/>
      <c r="BM27" s="137"/>
      <c r="BN27" s="137"/>
      <c r="BO27" s="137"/>
      <c r="BP27" s="137"/>
      <c r="BQ27" s="137"/>
      <c r="BR27" s="137"/>
      <c r="BS27" s="137"/>
      <c r="BT27" s="137"/>
      <c r="BU27" s="137"/>
      <c r="BV27" s="137"/>
      <c r="BW27" s="137"/>
      <c r="BX27" s="137"/>
      <c r="BY27" s="137"/>
      <c r="BZ27" s="137"/>
      <c r="CA27" s="137"/>
      <c r="CB27" s="137"/>
      <c r="CC27" s="137"/>
      <c r="CD27" s="137"/>
      <c r="CE27" s="137"/>
      <c r="CF27" s="137"/>
      <c r="CG27" s="137"/>
      <c r="CH27" s="137"/>
      <c r="CI27" s="137"/>
      <c r="CJ27" s="137"/>
      <c r="CK27" s="137"/>
      <c r="CL27" s="137"/>
      <c r="CM27" s="137"/>
      <c r="CN27" s="137"/>
      <c r="CO27" s="137"/>
      <c r="CP27" s="137"/>
      <c r="CQ27" s="137"/>
      <c r="CR27" s="137"/>
      <c r="CS27" s="137"/>
      <c r="CT27" s="137"/>
      <c r="CU27" s="137"/>
      <c r="CV27" s="137"/>
      <c r="CW27" s="137"/>
      <c r="CX27" s="137"/>
      <c r="CY27" s="137"/>
      <c r="CZ27" s="137"/>
      <c r="DA27" s="137"/>
      <c r="DB27" s="137"/>
      <c r="DC27" s="137"/>
      <c r="DD27" s="137"/>
      <c r="DE27" s="137"/>
      <c r="DF27" s="137"/>
      <c r="DG27" s="137"/>
      <c r="DH27" s="137"/>
      <c r="DI27" s="137"/>
      <c r="DJ27" s="137"/>
      <c r="DK27" s="137"/>
      <c r="DL27" s="137"/>
      <c r="DM27" s="137"/>
      <c r="DN27" s="137"/>
      <c r="DO27" s="137"/>
      <c r="DP27" s="137"/>
      <c r="DQ27" s="137"/>
      <c r="DR27" s="137"/>
      <c r="DS27" s="137"/>
      <c r="DT27" s="137"/>
      <c r="DU27" s="137"/>
      <c r="DV27" s="137"/>
      <c r="DW27" s="137"/>
      <c r="DX27" s="137"/>
      <c r="DY27" s="137"/>
      <c r="DZ27" s="137"/>
      <c r="EA27" s="137"/>
      <c r="EB27" s="137"/>
      <c r="EC27" s="137"/>
      <c r="ED27" s="137"/>
      <c r="EE27" s="137"/>
      <c r="EF27" s="137"/>
      <c r="EG27" s="137"/>
      <c r="EH27" s="137"/>
      <c r="EI27" s="137"/>
      <c r="EJ27" s="137"/>
      <c r="EK27" s="137"/>
      <c r="EL27" s="137"/>
      <c r="EM27" s="137"/>
      <c r="EN27" s="137"/>
      <c r="EO27" s="137"/>
      <c r="EP27" s="137"/>
      <c r="EQ27" s="137"/>
      <c r="ER27" s="137"/>
      <c r="ES27" s="137"/>
      <c r="ET27" s="137"/>
      <c r="EU27" s="137"/>
      <c r="EV27" s="137"/>
      <c r="EW27" s="137"/>
      <c r="EX27" s="137"/>
      <c r="EY27" s="137"/>
      <c r="EZ27" s="137"/>
      <c r="FA27" s="137"/>
      <c r="FB27" s="137"/>
      <c r="FC27" s="137"/>
      <c r="FD27" s="137"/>
      <c r="FE27" s="137"/>
      <c r="FF27" s="137"/>
      <c r="FG27" s="137"/>
      <c r="FH27" s="137"/>
      <c r="FI27" s="137"/>
      <c r="FJ27" s="137"/>
      <c r="FK27" s="137"/>
      <c r="FL27" s="137"/>
      <c r="FM27" s="137"/>
      <c r="FN27" s="137"/>
      <c r="FO27" s="137"/>
      <c r="FP27" s="137"/>
      <c r="FQ27" s="137"/>
      <c r="FR27" s="137"/>
      <c r="FS27" s="137"/>
      <c r="FT27" s="137"/>
      <c r="FU27" s="137"/>
      <c r="FV27" s="137"/>
      <c r="FW27" s="137"/>
      <c r="FX27" s="137"/>
      <c r="FY27" s="137"/>
      <c r="FZ27" s="137"/>
      <c r="GA27" s="137"/>
      <c r="GB27" s="137"/>
      <c r="GC27" s="137"/>
      <c r="GD27" s="137"/>
      <c r="GE27" s="137"/>
      <c r="GF27" s="137"/>
      <c r="GG27" s="137"/>
      <c r="GH27" s="137"/>
      <c r="GI27" s="137"/>
      <c r="GJ27" s="137"/>
      <c r="GK27" s="137"/>
      <c r="GL27" s="137"/>
      <c r="GM27" s="137"/>
      <c r="GN27" s="137"/>
      <c r="GO27" s="137"/>
      <c r="GP27" s="137"/>
      <c r="GQ27" s="137"/>
      <c r="GR27" s="137"/>
      <c r="GS27" s="137"/>
      <c r="GT27" s="137"/>
      <c r="GU27" s="137"/>
      <c r="GV27" s="137"/>
      <c r="GW27" s="137"/>
      <c r="GX27" s="137"/>
      <c r="GY27" s="137"/>
      <c r="GZ27" s="137"/>
      <c r="HA27" s="137"/>
      <c r="HB27" s="137"/>
      <c r="HC27" s="137"/>
      <c r="HD27" s="137"/>
      <c r="HE27" s="137"/>
      <c r="HF27" s="137"/>
      <c r="HG27" s="137"/>
      <c r="HH27" s="137"/>
      <c r="HI27" s="137"/>
      <c r="HJ27" s="137"/>
      <c r="HK27" s="137"/>
      <c r="HL27" s="137"/>
    </row>
    <row r="28" spans="1:220" s="93" customFormat="1" ht="15" hidden="1" customHeight="1">
      <c r="A28" s="299" t="s">
        <v>365</v>
      </c>
      <c r="B28" s="300"/>
      <c r="C28" s="301"/>
      <c r="D28" s="158"/>
      <c r="E28" s="121"/>
      <c r="F28" s="121"/>
      <c r="G28" s="121"/>
      <c r="H28" s="121"/>
      <c r="I28" s="121"/>
      <c r="J28" s="121"/>
      <c r="K28" s="152" t="e">
        <f>#REF!+#REF!+#REF!+#REF!+K42+K45+K46+#REF!+K58+K60+#REF!+#REF!+#REF!+#REF!+K65</f>
        <v>#REF!</v>
      </c>
      <c r="L28" s="152" t="e">
        <f>#REF!+#REF!+#REF!+L42+L45+#REF!+L46+L58+L60+#REF!+#REF!+#REF!+#REF!+L65+#REF!+L53</f>
        <v>#REF!</v>
      </c>
      <c r="M28" s="152" t="e">
        <f>#REF!+#REF!+#REF!+M42+M45+#REF!+M46+M58+M60+#REF!+#REF!+#REF!+#REF!+M65+#REF!+M53</f>
        <v>#REF!</v>
      </c>
      <c r="N28" s="152" t="e">
        <f>#REF!+#REF!+#REF!+N42+N45+#REF!+N46+N58+N60+#REF!+#REF!+#REF!+#REF!+N65+#REF!+N53</f>
        <v>#REF!</v>
      </c>
      <c r="O28" s="152" t="e">
        <f>#REF!+#REF!+#REF!+O42+O45+#REF!+O46+O58+O60+#REF!+#REF!+#REF!+#REF!+O65+#REF!+O53</f>
        <v>#REF!</v>
      </c>
      <c r="P28" s="152"/>
      <c r="Q28" s="152" t="e">
        <f>#REF!+#REF!+#REF!+Q42+Q45+#REF!+Q46+Q58+Q60+#REF!+#REF!+#REF!+#REF!+Q65+#REF!+Q53</f>
        <v>#REF!</v>
      </c>
      <c r="R28" s="152" t="e">
        <f>#REF!+#REF!+#REF!+R42+R45+#REF!+R46+R58+R60+#REF!+#REF!+#REF!+#REF!+R65+#REF!+R53</f>
        <v>#REF!</v>
      </c>
      <c r="S28" s="152" t="s">
        <v>347</v>
      </c>
      <c r="T28" s="187"/>
      <c r="U28" s="187"/>
      <c r="V28" s="190"/>
      <c r="W28" s="190"/>
      <c r="X28" s="190"/>
      <c r="Y28" s="190"/>
      <c r="Z28" s="192"/>
      <c r="AA28" s="193"/>
      <c r="AB28" s="195"/>
      <c r="AC28" s="190"/>
      <c r="AD28" s="190"/>
      <c r="AE28" s="190"/>
      <c r="AF28" s="190"/>
      <c r="AG28" s="191"/>
      <c r="AH28" s="102"/>
      <c r="AI28" s="102"/>
      <c r="AJ28" s="102"/>
      <c r="AK28" s="102"/>
      <c r="AL28" s="102"/>
      <c r="AM28" s="102"/>
      <c r="AN28" s="102"/>
      <c r="AO28" s="137"/>
      <c r="AP28" s="137"/>
      <c r="AQ28" s="137"/>
      <c r="AR28" s="137"/>
      <c r="AS28" s="137"/>
      <c r="AT28" s="137"/>
      <c r="AU28" s="137"/>
      <c r="AV28" s="137"/>
      <c r="AW28" s="137"/>
      <c r="AX28" s="137"/>
      <c r="AY28" s="137"/>
      <c r="AZ28" s="137"/>
      <c r="BA28" s="137"/>
      <c r="BB28" s="137"/>
      <c r="BC28" s="137"/>
      <c r="BD28" s="137"/>
      <c r="BE28" s="137"/>
      <c r="BF28" s="137"/>
      <c r="BG28" s="137"/>
      <c r="BH28" s="137"/>
      <c r="BI28" s="137"/>
      <c r="BJ28" s="137"/>
      <c r="BK28" s="137"/>
      <c r="BL28" s="137"/>
      <c r="BM28" s="137"/>
      <c r="BN28" s="137"/>
      <c r="BO28" s="137"/>
      <c r="BP28" s="137"/>
      <c r="BQ28" s="137"/>
      <c r="BR28" s="137"/>
      <c r="BS28" s="137"/>
      <c r="BT28" s="137"/>
      <c r="BU28" s="137"/>
      <c r="BV28" s="137"/>
      <c r="BW28" s="137"/>
      <c r="BX28" s="137"/>
      <c r="BY28" s="137"/>
      <c r="BZ28" s="137"/>
      <c r="CA28" s="137"/>
      <c r="CB28" s="137"/>
      <c r="CC28" s="137"/>
      <c r="CD28" s="137"/>
      <c r="CE28" s="137"/>
      <c r="CF28" s="137"/>
      <c r="CG28" s="137"/>
      <c r="CH28" s="137"/>
      <c r="CI28" s="137"/>
      <c r="CJ28" s="137"/>
      <c r="CK28" s="137"/>
      <c r="CL28" s="137"/>
      <c r="CM28" s="137"/>
      <c r="CN28" s="137"/>
      <c r="CO28" s="137"/>
      <c r="CP28" s="137"/>
      <c r="CQ28" s="137"/>
      <c r="CR28" s="137"/>
      <c r="CS28" s="137"/>
      <c r="CT28" s="137"/>
      <c r="CU28" s="137"/>
      <c r="CV28" s="137"/>
      <c r="CW28" s="137"/>
      <c r="CX28" s="137"/>
      <c r="CY28" s="137"/>
      <c r="CZ28" s="137"/>
      <c r="DA28" s="137"/>
      <c r="DB28" s="137"/>
      <c r="DC28" s="137"/>
      <c r="DD28" s="137"/>
      <c r="DE28" s="137"/>
      <c r="DF28" s="137"/>
      <c r="DG28" s="137"/>
      <c r="DH28" s="137"/>
      <c r="DI28" s="137"/>
      <c r="DJ28" s="137"/>
      <c r="DK28" s="137"/>
      <c r="DL28" s="137"/>
      <c r="DM28" s="137"/>
      <c r="DN28" s="137"/>
      <c r="DO28" s="137"/>
      <c r="DP28" s="137"/>
      <c r="DQ28" s="137"/>
      <c r="DR28" s="137"/>
      <c r="DS28" s="137"/>
      <c r="DT28" s="137"/>
      <c r="DU28" s="137"/>
      <c r="DV28" s="137"/>
      <c r="DW28" s="137"/>
      <c r="DX28" s="137"/>
      <c r="DY28" s="137"/>
      <c r="DZ28" s="137"/>
      <c r="EA28" s="137"/>
      <c r="EB28" s="137"/>
      <c r="EC28" s="137"/>
      <c r="ED28" s="137"/>
      <c r="EE28" s="137"/>
      <c r="EF28" s="137"/>
      <c r="EG28" s="137"/>
      <c r="EH28" s="137"/>
      <c r="EI28" s="137"/>
      <c r="EJ28" s="137"/>
      <c r="EK28" s="137"/>
      <c r="EL28" s="137"/>
      <c r="EM28" s="137"/>
      <c r="EN28" s="137"/>
      <c r="EO28" s="137"/>
      <c r="EP28" s="137"/>
      <c r="EQ28" s="137"/>
      <c r="ER28" s="137"/>
      <c r="ES28" s="137"/>
      <c r="ET28" s="137"/>
      <c r="EU28" s="137"/>
      <c r="EV28" s="137"/>
      <c r="EW28" s="137"/>
      <c r="EX28" s="137"/>
      <c r="EY28" s="137"/>
      <c r="EZ28" s="137"/>
      <c r="FA28" s="137"/>
      <c r="FB28" s="137"/>
      <c r="FC28" s="137"/>
      <c r="FD28" s="137"/>
      <c r="FE28" s="137"/>
      <c r="FF28" s="137"/>
      <c r="FG28" s="137"/>
      <c r="FH28" s="137"/>
      <c r="FI28" s="137"/>
      <c r="FJ28" s="137"/>
      <c r="FK28" s="137"/>
      <c r="FL28" s="137"/>
      <c r="FM28" s="137"/>
      <c r="FN28" s="137"/>
      <c r="FO28" s="137"/>
      <c r="FP28" s="137"/>
      <c r="FQ28" s="137"/>
      <c r="FR28" s="137"/>
      <c r="FS28" s="137"/>
      <c r="FT28" s="137"/>
      <c r="FU28" s="137"/>
      <c r="FV28" s="137"/>
      <c r="FW28" s="137"/>
      <c r="FX28" s="137"/>
      <c r="FY28" s="137"/>
      <c r="FZ28" s="137"/>
      <c r="GA28" s="137"/>
      <c r="GB28" s="137"/>
      <c r="GC28" s="137"/>
      <c r="GD28" s="137"/>
      <c r="GE28" s="137"/>
      <c r="GF28" s="137"/>
      <c r="GG28" s="137"/>
      <c r="GH28" s="137"/>
      <c r="GI28" s="137"/>
      <c r="GJ28" s="137"/>
      <c r="GK28" s="137"/>
      <c r="GL28" s="137"/>
      <c r="GM28" s="137"/>
      <c r="GN28" s="137"/>
      <c r="GO28" s="137"/>
      <c r="GP28" s="137"/>
      <c r="GQ28" s="137"/>
      <c r="GR28" s="137"/>
      <c r="GS28" s="137"/>
      <c r="GT28" s="137"/>
      <c r="GU28" s="137"/>
      <c r="GV28" s="137"/>
      <c r="GW28" s="137"/>
      <c r="GX28" s="137"/>
      <c r="GY28" s="137"/>
      <c r="GZ28" s="137"/>
      <c r="HA28" s="137"/>
      <c r="HB28" s="137"/>
      <c r="HC28" s="137"/>
      <c r="HD28" s="137"/>
      <c r="HE28" s="137"/>
      <c r="HF28" s="137"/>
      <c r="HG28" s="137"/>
      <c r="HH28" s="137"/>
      <c r="HI28" s="137"/>
      <c r="HJ28" s="137"/>
      <c r="HK28" s="137"/>
      <c r="HL28" s="137"/>
    </row>
    <row r="29" spans="1:220" s="93" customFormat="1" ht="15" hidden="1" customHeight="1">
      <c r="A29" s="299" t="s">
        <v>366</v>
      </c>
      <c r="B29" s="300"/>
      <c r="C29" s="301"/>
      <c r="D29" s="107"/>
      <c r="E29" s="121"/>
      <c r="F29" s="121"/>
      <c r="G29" s="121"/>
      <c r="H29" s="121"/>
      <c r="I29" s="121"/>
      <c r="J29" s="121"/>
      <c r="K29" s="152" t="e">
        <f>#REF!+#REF!+K35+#REF!+#REF!+K39+#REF!+K55++#REF!+#REF!+#REF!+K64</f>
        <v>#REF!</v>
      </c>
      <c r="L29" s="152" t="e">
        <f>#REF!+#REF!+L35+#REF!+#REF!+L39+#REF!+L55++#REF!+#REF!+#REF!+L64</f>
        <v>#REF!</v>
      </c>
      <c r="M29" s="152" t="e">
        <f>#REF!+#REF!+M35+#REF!+#REF!+M39+#REF!+M55++#REF!+#REF!+#REF!+M64</f>
        <v>#REF!</v>
      </c>
      <c r="N29" s="152" t="e">
        <f>#REF!+#REF!+N35+#REF!+#REF!+N39+#REF!+N55++#REF!+#REF!+#REF!+N64</f>
        <v>#REF!</v>
      </c>
      <c r="O29" s="152" t="e">
        <f>#REF!+#REF!+O35+#REF!+#REF!+O39+#REF!+O55++#REF!+#REF!+#REF!+O64</f>
        <v>#REF!</v>
      </c>
      <c r="P29" s="152"/>
      <c r="Q29" s="152" t="e">
        <f>#REF!+#REF!+Q35+#REF!+#REF!+Q39+#REF!+Q55++#REF!+#REF!+#REF!+Q64</f>
        <v>#REF!</v>
      </c>
      <c r="R29" s="152" t="e">
        <f>#REF!+#REF!+R35+#REF!+#REF!+R39+#REF!+R55++#REF!+#REF!+#REF!+R64</f>
        <v>#REF!</v>
      </c>
      <c r="S29" s="152" t="s">
        <v>346</v>
      </c>
      <c r="T29" s="187"/>
      <c r="U29" s="187"/>
      <c r="V29" s="190"/>
      <c r="W29" s="190"/>
      <c r="X29" s="190"/>
      <c r="Y29" s="190"/>
      <c r="Z29" s="192"/>
      <c r="AA29" s="193"/>
      <c r="AB29" s="195"/>
      <c r="AC29" s="190"/>
      <c r="AD29" s="190"/>
      <c r="AE29" s="190"/>
      <c r="AF29" s="190"/>
      <c r="AG29" s="191"/>
      <c r="AH29" s="102"/>
      <c r="AI29" s="102"/>
      <c r="AJ29" s="102"/>
      <c r="AK29" s="102"/>
      <c r="AL29" s="102"/>
      <c r="AM29" s="102"/>
      <c r="AN29" s="102"/>
      <c r="AO29" s="137"/>
      <c r="AP29" s="137"/>
      <c r="AQ29" s="137"/>
      <c r="AR29" s="137"/>
      <c r="AS29" s="137"/>
      <c r="AT29" s="137"/>
      <c r="AU29" s="137"/>
      <c r="AV29" s="137"/>
      <c r="AW29" s="137"/>
      <c r="AX29" s="137"/>
      <c r="AY29" s="137"/>
      <c r="AZ29" s="137"/>
      <c r="BA29" s="137"/>
      <c r="BB29" s="137"/>
      <c r="BC29" s="137"/>
      <c r="BD29" s="137"/>
      <c r="BE29" s="137"/>
      <c r="BF29" s="137"/>
      <c r="BG29" s="137"/>
      <c r="BH29" s="137"/>
      <c r="BI29" s="137"/>
      <c r="BJ29" s="137"/>
      <c r="BK29" s="137"/>
      <c r="BL29" s="137"/>
      <c r="BM29" s="137"/>
      <c r="BN29" s="137"/>
      <c r="BO29" s="137"/>
      <c r="BP29" s="137"/>
      <c r="BQ29" s="137"/>
      <c r="BR29" s="137"/>
      <c r="BS29" s="137"/>
      <c r="BT29" s="137"/>
      <c r="BU29" s="137"/>
      <c r="BV29" s="137"/>
      <c r="BW29" s="137"/>
      <c r="BX29" s="137"/>
      <c r="BY29" s="137"/>
      <c r="BZ29" s="137"/>
      <c r="CA29" s="137"/>
      <c r="CB29" s="137"/>
      <c r="CC29" s="137"/>
      <c r="CD29" s="137"/>
      <c r="CE29" s="137"/>
      <c r="CF29" s="137"/>
      <c r="CG29" s="137"/>
      <c r="CH29" s="137"/>
      <c r="CI29" s="137"/>
      <c r="CJ29" s="137"/>
      <c r="CK29" s="137"/>
      <c r="CL29" s="137"/>
      <c r="CM29" s="137"/>
      <c r="CN29" s="137"/>
      <c r="CO29" s="137"/>
      <c r="CP29" s="137"/>
      <c r="CQ29" s="137"/>
      <c r="CR29" s="137"/>
      <c r="CS29" s="137"/>
      <c r="CT29" s="137"/>
      <c r="CU29" s="137"/>
      <c r="CV29" s="137"/>
      <c r="CW29" s="137"/>
      <c r="CX29" s="137"/>
      <c r="CY29" s="137"/>
      <c r="CZ29" s="137"/>
      <c r="DA29" s="137"/>
      <c r="DB29" s="137"/>
      <c r="DC29" s="137"/>
      <c r="DD29" s="137"/>
      <c r="DE29" s="137"/>
      <c r="DF29" s="137"/>
      <c r="DG29" s="137"/>
      <c r="DH29" s="137"/>
      <c r="DI29" s="137"/>
      <c r="DJ29" s="137"/>
      <c r="DK29" s="137"/>
      <c r="DL29" s="137"/>
      <c r="DM29" s="137"/>
      <c r="DN29" s="137"/>
      <c r="DO29" s="137"/>
      <c r="DP29" s="137"/>
      <c r="DQ29" s="137"/>
      <c r="DR29" s="137"/>
      <c r="DS29" s="137"/>
      <c r="DT29" s="137"/>
      <c r="DU29" s="137"/>
      <c r="DV29" s="137"/>
      <c r="DW29" s="137"/>
      <c r="DX29" s="137"/>
      <c r="DY29" s="137"/>
      <c r="DZ29" s="137"/>
      <c r="EA29" s="137"/>
      <c r="EB29" s="137"/>
      <c r="EC29" s="137"/>
      <c r="ED29" s="137"/>
      <c r="EE29" s="137"/>
      <c r="EF29" s="137"/>
      <c r="EG29" s="137"/>
      <c r="EH29" s="137"/>
      <c r="EI29" s="137"/>
      <c r="EJ29" s="137"/>
      <c r="EK29" s="137"/>
      <c r="EL29" s="137"/>
      <c r="EM29" s="137"/>
      <c r="EN29" s="137"/>
      <c r="EO29" s="137"/>
      <c r="EP29" s="137"/>
      <c r="EQ29" s="137"/>
      <c r="ER29" s="137"/>
      <c r="ES29" s="137"/>
      <c r="ET29" s="137"/>
      <c r="EU29" s="137"/>
      <c r="EV29" s="137"/>
      <c r="EW29" s="137"/>
      <c r="EX29" s="137"/>
      <c r="EY29" s="137"/>
      <c r="EZ29" s="137"/>
      <c r="FA29" s="137"/>
      <c r="FB29" s="137"/>
      <c r="FC29" s="137"/>
      <c r="FD29" s="137"/>
      <c r="FE29" s="137"/>
      <c r="FF29" s="137"/>
      <c r="FG29" s="137"/>
      <c r="FH29" s="137"/>
      <c r="FI29" s="137"/>
      <c r="FJ29" s="137"/>
      <c r="FK29" s="137"/>
      <c r="FL29" s="137"/>
      <c r="FM29" s="137"/>
      <c r="FN29" s="137"/>
      <c r="FO29" s="137"/>
      <c r="FP29" s="137"/>
      <c r="FQ29" s="137"/>
      <c r="FR29" s="137"/>
      <c r="FS29" s="137"/>
      <c r="FT29" s="137"/>
      <c r="FU29" s="137"/>
      <c r="FV29" s="137"/>
      <c r="FW29" s="137"/>
      <c r="FX29" s="137"/>
      <c r="FY29" s="137"/>
      <c r="FZ29" s="137"/>
      <c r="GA29" s="137"/>
      <c r="GB29" s="137"/>
      <c r="GC29" s="137"/>
      <c r="GD29" s="137"/>
      <c r="GE29" s="137"/>
      <c r="GF29" s="137"/>
      <c r="GG29" s="137"/>
      <c r="GH29" s="137"/>
      <c r="GI29" s="137"/>
      <c r="GJ29" s="137"/>
      <c r="GK29" s="137"/>
      <c r="GL29" s="137"/>
      <c r="GM29" s="137"/>
      <c r="GN29" s="137"/>
      <c r="GO29" s="137"/>
      <c r="GP29" s="137"/>
      <c r="GQ29" s="137"/>
      <c r="GR29" s="137"/>
      <c r="GS29" s="137"/>
      <c r="GT29" s="137"/>
      <c r="GU29" s="137"/>
      <c r="GV29" s="137"/>
      <c r="GW29" s="137"/>
      <c r="GX29" s="137"/>
      <c r="GY29" s="137"/>
      <c r="GZ29" s="137"/>
      <c r="HA29" s="137"/>
      <c r="HB29" s="137"/>
      <c r="HC29" s="137"/>
      <c r="HD29" s="137"/>
      <c r="HE29" s="137"/>
      <c r="HF29" s="137"/>
      <c r="HG29" s="137"/>
      <c r="HH29" s="137"/>
      <c r="HI29" s="137"/>
      <c r="HJ29" s="137"/>
      <c r="HK29" s="137"/>
      <c r="HL29" s="137"/>
    </row>
    <row r="30" spans="1:220" s="93" customFormat="1" ht="11.25" hidden="1" customHeight="1">
      <c r="A30" s="299" t="s">
        <v>367</v>
      </c>
      <c r="B30" s="300"/>
      <c r="C30" s="301"/>
      <c r="D30" s="107"/>
      <c r="E30" s="121"/>
      <c r="F30" s="121"/>
      <c r="G30" s="121"/>
      <c r="H30" s="121"/>
      <c r="I30" s="121"/>
      <c r="J30" s="121"/>
      <c r="K30" s="152" t="e">
        <f>K41+K56+#REF!+#REF!+K62+#REF!+#REF!+#REF!+#REF!+K57+K34+K38</f>
        <v>#REF!</v>
      </c>
      <c r="L30" s="152" t="e">
        <f>L41+L56+#REF!+#REF!+L62+#REF!+#REF!+#REF!+#REF!</f>
        <v>#REF!</v>
      </c>
      <c r="M30" s="152" t="e">
        <f>N41+M56+#REF!+#REF!+M62+#REF!+#REF!+#REF!+#REF!</f>
        <v>#REF!</v>
      </c>
      <c r="N30" s="152" t="e">
        <f>#REF!+N56+#REF!+#REF!+N62+#REF!+#REF!+#REF!+#REF!</f>
        <v>#REF!</v>
      </c>
      <c r="O30" s="152" t="e">
        <f>O41+O56+#REF!+#REF!+O62+#REF!+#REF!+#REF!+#REF!</f>
        <v>#REF!</v>
      </c>
      <c r="P30" s="152"/>
      <c r="Q30" s="152" t="e">
        <f>Q41+Q56+#REF!+#REF!+Q62+#REF!+#REF!+#REF!+#REF!</f>
        <v>#REF!</v>
      </c>
      <c r="R30" s="152" t="e">
        <f>R41+R56+#REF!+#REF!+R62+#REF!+#REF!+#REF!+#REF!</f>
        <v>#REF!</v>
      </c>
      <c r="S30" s="152" t="s">
        <v>349</v>
      </c>
      <c r="T30" s="187"/>
      <c r="U30" s="187"/>
      <c r="V30" s="190"/>
      <c r="W30" s="190"/>
      <c r="X30" s="190"/>
      <c r="Y30" s="190"/>
      <c r="Z30" s="192"/>
      <c r="AA30" s="193"/>
      <c r="AB30" s="195"/>
      <c r="AC30" s="190"/>
      <c r="AD30" s="190"/>
      <c r="AE30" s="190"/>
      <c r="AF30" s="190"/>
      <c r="AG30" s="191"/>
      <c r="AH30" s="102"/>
      <c r="AI30" s="102"/>
      <c r="AJ30" s="102"/>
      <c r="AK30" s="102"/>
      <c r="AL30" s="102"/>
      <c r="AM30" s="102"/>
      <c r="AN30" s="102"/>
      <c r="AO30" s="137"/>
      <c r="AP30" s="137"/>
      <c r="AQ30" s="137"/>
      <c r="AR30" s="137"/>
      <c r="AS30" s="137"/>
      <c r="AT30" s="137"/>
      <c r="AU30" s="137"/>
      <c r="AV30" s="137"/>
      <c r="AW30" s="137"/>
      <c r="AX30" s="137"/>
      <c r="AY30" s="137"/>
      <c r="AZ30" s="137"/>
      <c r="BA30" s="137"/>
      <c r="BB30" s="137"/>
      <c r="BC30" s="137"/>
      <c r="BD30" s="137"/>
      <c r="BE30" s="137"/>
      <c r="BF30" s="137"/>
      <c r="BG30" s="137"/>
      <c r="BH30" s="137"/>
      <c r="BI30" s="137"/>
      <c r="BJ30" s="137"/>
      <c r="BK30" s="137"/>
      <c r="BL30" s="137"/>
      <c r="BM30" s="137"/>
      <c r="BN30" s="137"/>
      <c r="BO30" s="137"/>
      <c r="BP30" s="137"/>
      <c r="BQ30" s="137"/>
      <c r="BR30" s="137"/>
      <c r="BS30" s="137"/>
      <c r="BT30" s="137"/>
      <c r="BU30" s="137"/>
      <c r="BV30" s="137"/>
      <c r="BW30" s="137"/>
      <c r="BX30" s="137"/>
      <c r="BY30" s="137"/>
      <c r="BZ30" s="137"/>
      <c r="CA30" s="137"/>
      <c r="CB30" s="137"/>
      <c r="CC30" s="137"/>
      <c r="CD30" s="137"/>
      <c r="CE30" s="137"/>
      <c r="CF30" s="137"/>
      <c r="CG30" s="137"/>
      <c r="CH30" s="137"/>
      <c r="CI30" s="137"/>
      <c r="CJ30" s="137"/>
      <c r="CK30" s="137"/>
      <c r="CL30" s="137"/>
      <c r="CM30" s="137"/>
      <c r="CN30" s="137"/>
      <c r="CO30" s="137"/>
      <c r="CP30" s="137"/>
      <c r="CQ30" s="137"/>
      <c r="CR30" s="137"/>
      <c r="CS30" s="137"/>
      <c r="CT30" s="137"/>
      <c r="CU30" s="137"/>
      <c r="CV30" s="137"/>
      <c r="CW30" s="137"/>
      <c r="CX30" s="137"/>
      <c r="CY30" s="137"/>
      <c r="CZ30" s="137"/>
      <c r="DA30" s="137"/>
      <c r="DB30" s="137"/>
      <c r="DC30" s="137"/>
      <c r="DD30" s="137"/>
      <c r="DE30" s="137"/>
      <c r="DF30" s="137"/>
      <c r="DG30" s="137"/>
      <c r="DH30" s="137"/>
      <c r="DI30" s="137"/>
      <c r="DJ30" s="137"/>
      <c r="DK30" s="137"/>
      <c r="DL30" s="137"/>
      <c r="DM30" s="137"/>
      <c r="DN30" s="137"/>
      <c r="DO30" s="137"/>
      <c r="DP30" s="137"/>
      <c r="DQ30" s="137"/>
      <c r="DR30" s="137"/>
      <c r="DS30" s="137"/>
      <c r="DT30" s="137"/>
      <c r="DU30" s="137"/>
      <c r="DV30" s="137"/>
      <c r="DW30" s="137"/>
      <c r="DX30" s="137"/>
      <c r="DY30" s="137"/>
      <c r="DZ30" s="137"/>
      <c r="EA30" s="137"/>
      <c r="EB30" s="137"/>
      <c r="EC30" s="137"/>
      <c r="ED30" s="137"/>
      <c r="EE30" s="137"/>
      <c r="EF30" s="137"/>
      <c r="EG30" s="137"/>
      <c r="EH30" s="137"/>
      <c r="EI30" s="137"/>
      <c r="EJ30" s="137"/>
      <c r="EK30" s="137"/>
      <c r="EL30" s="137"/>
      <c r="EM30" s="137"/>
      <c r="EN30" s="137"/>
      <c r="EO30" s="137"/>
      <c r="EP30" s="137"/>
      <c r="EQ30" s="137"/>
      <c r="ER30" s="137"/>
      <c r="ES30" s="137"/>
      <c r="ET30" s="137"/>
      <c r="EU30" s="137"/>
      <c r="EV30" s="137"/>
      <c r="EW30" s="137"/>
      <c r="EX30" s="137"/>
      <c r="EY30" s="137"/>
      <c r="EZ30" s="137"/>
      <c r="FA30" s="137"/>
      <c r="FB30" s="137"/>
      <c r="FC30" s="137"/>
      <c r="FD30" s="137"/>
      <c r="FE30" s="137"/>
      <c r="FF30" s="137"/>
      <c r="FG30" s="137"/>
      <c r="FH30" s="137"/>
      <c r="FI30" s="137"/>
      <c r="FJ30" s="137"/>
      <c r="FK30" s="137"/>
      <c r="FL30" s="137"/>
      <c r="FM30" s="137"/>
      <c r="FN30" s="137"/>
      <c r="FO30" s="137"/>
      <c r="FP30" s="137"/>
      <c r="FQ30" s="137"/>
      <c r="FR30" s="137"/>
      <c r="FS30" s="137"/>
      <c r="FT30" s="137"/>
      <c r="FU30" s="137"/>
      <c r="FV30" s="137"/>
      <c r="FW30" s="137"/>
      <c r="FX30" s="137"/>
      <c r="FY30" s="137"/>
      <c r="FZ30" s="137"/>
      <c r="GA30" s="137"/>
      <c r="GB30" s="137"/>
      <c r="GC30" s="137"/>
      <c r="GD30" s="137"/>
      <c r="GE30" s="137"/>
      <c r="GF30" s="137"/>
      <c r="GG30" s="137"/>
      <c r="GH30" s="137"/>
      <c r="GI30" s="137"/>
      <c r="GJ30" s="137"/>
      <c r="GK30" s="137"/>
      <c r="GL30" s="137"/>
      <c r="GM30" s="137"/>
      <c r="GN30" s="137"/>
      <c r="GO30" s="137"/>
      <c r="GP30" s="137"/>
      <c r="GQ30" s="137"/>
      <c r="GR30" s="137"/>
      <c r="GS30" s="137"/>
      <c r="GT30" s="137"/>
      <c r="GU30" s="137"/>
      <c r="GV30" s="137"/>
      <c r="GW30" s="137"/>
      <c r="GX30" s="137"/>
      <c r="GY30" s="137"/>
      <c r="GZ30" s="137"/>
      <c r="HA30" s="137"/>
      <c r="HB30" s="137"/>
      <c r="HC30" s="137"/>
      <c r="HD30" s="137"/>
      <c r="HE30" s="137"/>
      <c r="HF30" s="137"/>
      <c r="HG30" s="137"/>
      <c r="HH30" s="137"/>
      <c r="HI30" s="137"/>
      <c r="HJ30" s="137"/>
      <c r="HK30" s="137"/>
      <c r="HL30" s="137"/>
    </row>
    <row r="31" spans="1:220" s="93" customFormat="1" ht="15" hidden="1" customHeight="1">
      <c r="A31" s="299" t="s">
        <v>368</v>
      </c>
      <c r="B31" s="300"/>
      <c r="C31" s="301"/>
      <c r="D31" s="107"/>
      <c r="E31" s="121"/>
      <c r="F31" s="121"/>
      <c r="G31" s="121"/>
      <c r="H31" s="121"/>
      <c r="I31" s="121"/>
      <c r="J31" s="121"/>
      <c r="K31" s="152" t="e">
        <f>#REF!+K40+K48+K49+K51+K59+K61+K63+#REF!</f>
        <v>#REF!</v>
      </c>
      <c r="L31" s="152" t="e">
        <f>#REF!+L40+L48+L49+L51+L59+L61+L63+#REF!</f>
        <v>#REF!</v>
      </c>
      <c r="M31" s="152" t="e">
        <f>#REF!+M40+M48+M49+M51+M59+M61+M63+#REF!</f>
        <v>#REF!</v>
      </c>
      <c r="N31" s="152" t="e">
        <f>#REF!+N40+N48+N49+N51+N59+N61+N63+#REF!</f>
        <v>#REF!</v>
      </c>
      <c r="O31" s="152" t="e">
        <f>#REF!+O40+O48+O49+O51+O59+O61+O63+#REF!</f>
        <v>#REF!</v>
      </c>
      <c r="P31" s="152"/>
      <c r="Q31" s="152" t="e">
        <f>#REF!+Q40+Q48+Q49+Q51+Q59+Q61+Q63+#REF!</f>
        <v>#REF!</v>
      </c>
      <c r="R31" s="152" t="e">
        <f>#REF!+R40+R48+R49+R51+R59+R61+R63+#REF!</f>
        <v>#REF!</v>
      </c>
      <c r="S31" s="152" t="s">
        <v>350</v>
      </c>
      <c r="T31" s="187"/>
      <c r="U31" s="187"/>
      <c r="V31" s="190"/>
      <c r="W31" s="190"/>
      <c r="X31" s="190"/>
      <c r="Y31" s="190"/>
      <c r="Z31" s="192"/>
      <c r="AA31" s="193"/>
      <c r="AB31" s="195"/>
      <c r="AC31" s="190"/>
      <c r="AD31" s="190"/>
      <c r="AE31" s="190"/>
      <c r="AF31" s="190"/>
      <c r="AG31" s="191"/>
      <c r="AH31" s="102"/>
      <c r="AI31" s="102"/>
      <c r="AJ31" s="102"/>
      <c r="AK31" s="102"/>
      <c r="AL31" s="102"/>
      <c r="AM31" s="102"/>
      <c r="AN31" s="102"/>
      <c r="AO31" s="137"/>
      <c r="AP31" s="137"/>
      <c r="AQ31" s="137"/>
      <c r="AR31" s="137"/>
      <c r="AS31" s="137"/>
      <c r="AT31" s="137"/>
      <c r="AU31" s="137"/>
      <c r="AV31" s="137"/>
      <c r="AW31" s="137"/>
      <c r="AX31" s="137"/>
      <c r="AY31" s="137"/>
      <c r="AZ31" s="137"/>
      <c r="BA31" s="137"/>
      <c r="BB31" s="137"/>
      <c r="BC31" s="137"/>
      <c r="BD31" s="137"/>
      <c r="BE31" s="137"/>
      <c r="BF31" s="137"/>
      <c r="BG31" s="137"/>
      <c r="BH31" s="137"/>
      <c r="BI31" s="137"/>
      <c r="BJ31" s="137"/>
      <c r="BK31" s="137"/>
      <c r="BL31" s="137"/>
      <c r="BM31" s="137"/>
      <c r="BN31" s="137"/>
      <c r="BO31" s="137"/>
      <c r="BP31" s="137"/>
      <c r="BQ31" s="137"/>
      <c r="BR31" s="137"/>
      <c r="BS31" s="137"/>
      <c r="BT31" s="137"/>
      <c r="BU31" s="137"/>
      <c r="BV31" s="137"/>
      <c r="BW31" s="137"/>
      <c r="BX31" s="137"/>
      <c r="BY31" s="137"/>
      <c r="BZ31" s="137"/>
      <c r="CA31" s="137"/>
      <c r="CB31" s="137"/>
      <c r="CC31" s="137"/>
      <c r="CD31" s="137"/>
      <c r="CE31" s="137"/>
      <c r="CF31" s="137"/>
      <c r="CG31" s="137"/>
      <c r="CH31" s="137"/>
      <c r="CI31" s="137"/>
      <c r="CJ31" s="137"/>
      <c r="CK31" s="137"/>
      <c r="CL31" s="137"/>
      <c r="CM31" s="137"/>
      <c r="CN31" s="137"/>
      <c r="CO31" s="137"/>
      <c r="CP31" s="137"/>
      <c r="CQ31" s="137"/>
      <c r="CR31" s="137"/>
      <c r="CS31" s="137"/>
      <c r="CT31" s="137"/>
      <c r="CU31" s="137"/>
      <c r="CV31" s="137"/>
      <c r="CW31" s="137"/>
      <c r="CX31" s="137"/>
      <c r="CY31" s="137"/>
      <c r="CZ31" s="137"/>
      <c r="DA31" s="137"/>
      <c r="DB31" s="137"/>
      <c r="DC31" s="137"/>
      <c r="DD31" s="137"/>
      <c r="DE31" s="137"/>
      <c r="DF31" s="137"/>
      <c r="DG31" s="137"/>
      <c r="DH31" s="137"/>
      <c r="DI31" s="137"/>
      <c r="DJ31" s="137"/>
      <c r="DK31" s="137"/>
      <c r="DL31" s="137"/>
      <c r="DM31" s="137"/>
      <c r="DN31" s="137"/>
      <c r="DO31" s="137"/>
      <c r="DP31" s="137"/>
      <c r="DQ31" s="137"/>
      <c r="DR31" s="137"/>
      <c r="DS31" s="137"/>
      <c r="DT31" s="137"/>
      <c r="DU31" s="137"/>
      <c r="DV31" s="137"/>
      <c r="DW31" s="137"/>
      <c r="DX31" s="137"/>
      <c r="DY31" s="137"/>
      <c r="DZ31" s="137"/>
      <c r="EA31" s="137"/>
      <c r="EB31" s="137"/>
      <c r="EC31" s="137"/>
      <c r="ED31" s="137"/>
      <c r="EE31" s="137"/>
      <c r="EF31" s="137"/>
      <c r="EG31" s="137"/>
      <c r="EH31" s="137"/>
      <c r="EI31" s="137"/>
      <c r="EJ31" s="137"/>
      <c r="EK31" s="137"/>
      <c r="EL31" s="137"/>
      <c r="EM31" s="137"/>
      <c r="EN31" s="137"/>
      <c r="EO31" s="137"/>
      <c r="EP31" s="137"/>
      <c r="EQ31" s="137"/>
      <c r="ER31" s="137"/>
      <c r="ES31" s="137"/>
      <c r="ET31" s="137"/>
      <c r="EU31" s="137"/>
      <c r="EV31" s="137"/>
      <c r="EW31" s="137"/>
      <c r="EX31" s="137"/>
      <c r="EY31" s="137"/>
      <c r="EZ31" s="137"/>
      <c r="FA31" s="137"/>
      <c r="FB31" s="137"/>
      <c r="FC31" s="137"/>
      <c r="FD31" s="137"/>
      <c r="FE31" s="137"/>
      <c r="FF31" s="137"/>
      <c r="FG31" s="137"/>
      <c r="FH31" s="137"/>
      <c r="FI31" s="137"/>
      <c r="FJ31" s="137"/>
      <c r="FK31" s="137"/>
      <c r="FL31" s="137"/>
      <c r="FM31" s="137"/>
      <c r="FN31" s="137"/>
      <c r="FO31" s="137"/>
      <c r="FP31" s="137"/>
      <c r="FQ31" s="137"/>
      <c r="FR31" s="137"/>
      <c r="FS31" s="137"/>
      <c r="FT31" s="137"/>
      <c r="FU31" s="137"/>
      <c r="FV31" s="137"/>
      <c r="FW31" s="137"/>
      <c r="FX31" s="137"/>
      <c r="FY31" s="137"/>
      <c r="FZ31" s="137"/>
      <c r="GA31" s="137"/>
      <c r="GB31" s="137"/>
      <c r="GC31" s="137"/>
      <c r="GD31" s="137"/>
      <c r="GE31" s="137"/>
      <c r="GF31" s="137"/>
      <c r="GG31" s="137"/>
      <c r="GH31" s="137"/>
      <c r="GI31" s="137"/>
      <c r="GJ31" s="137"/>
      <c r="GK31" s="137"/>
      <c r="GL31" s="137"/>
      <c r="GM31" s="137"/>
      <c r="GN31" s="137"/>
      <c r="GO31" s="137"/>
      <c r="GP31" s="137"/>
      <c r="GQ31" s="137"/>
      <c r="GR31" s="137"/>
      <c r="GS31" s="137"/>
      <c r="GT31" s="137"/>
      <c r="GU31" s="137"/>
      <c r="GV31" s="137"/>
      <c r="GW31" s="137"/>
      <c r="GX31" s="137"/>
      <c r="GY31" s="137"/>
      <c r="GZ31" s="137"/>
      <c r="HA31" s="137"/>
      <c r="HB31" s="137"/>
      <c r="HC31" s="137"/>
      <c r="HD31" s="137"/>
      <c r="HE31" s="137"/>
      <c r="HF31" s="137"/>
      <c r="HG31" s="137"/>
      <c r="HH31" s="137"/>
      <c r="HI31" s="137"/>
      <c r="HJ31" s="137"/>
      <c r="HK31" s="137"/>
      <c r="HL31" s="137"/>
    </row>
    <row r="32" spans="1:220" s="93" customFormat="1" ht="15" hidden="1" customHeight="1">
      <c r="A32" s="299" t="s">
        <v>369</v>
      </c>
      <c r="B32" s="300"/>
      <c r="C32" s="301"/>
      <c r="D32" s="107"/>
      <c r="E32" s="121"/>
      <c r="F32" s="121"/>
      <c r="G32" s="121"/>
      <c r="H32" s="121"/>
      <c r="I32" s="121"/>
      <c r="J32" s="121"/>
      <c r="K32" s="152" t="e">
        <f>SUM(#REF!,K36,K37,K50,K52,K54,#REF!,#REF!,#REF!,#REF!,#REF!,#REF!,#REF!,#REF!)</f>
        <v>#REF!</v>
      </c>
      <c r="L32" s="152" t="e">
        <f>#REF!+L36+#REF!+L50+L52+L54+#REF!+#REF!+#REF!+#REF!+#REF!+#REF!+#REF!+L37</f>
        <v>#REF!</v>
      </c>
      <c r="M32" s="152" t="e">
        <f>#REF!+M36+#REF!+M50+M52+M54+#REF!+#REF!+#REF!+#REF!+#REF!+#REF!+#REF!+M37</f>
        <v>#REF!</v>
      </c>
      <c r="N32" s="152" t="e">
        <f>#REF!+N36+#REF!+N50+N52+N54+#REF!+#REF!+#REF!+#REF!+#REF!+#REF!+#REF!+N37</f>
        <v>#REF!</v>
      </c>
      <c r="O32" s="152" t="e">
        <f>#REF!+O36+#REF!+O50+O52+O54+#REF!+#REF!+#REF!+#REF!+#REF!+#REF!+#REF!+O37</f>
        <v>#REF!</v>
      </c>
      <c r="P32" s="152"/>
      <c r="Q32" s="152" t="e">
        <f>#REF!+Q36+#REF!+Q50+Q52+Q54+#REF!+#REF!+#REF!+#REF!+#REF!+#REF!+#REF!+Q37</f>
        <v>#REF!</v>
      </c>
      <c r="R32" s="152" t="e">
        <f>#REF!+R36+#REF!+R50+R52+R54+#REF!+#REF!+#REF!+#REF!+#REF!+#REF!+#REF!+R37</f>
        <v>#REF!</v>
      </c>
      <c r="S32" s="152" t="s">
        <v>351</v>
      </c>
      <c r="T32" s="187"/>
      <c r="U32" s="187"/>
      <c r="V32" s="190"/>
      <c r="W32" s="190"/>
      <c r="X32" s="190"/>
      <c r="Y32" s="190"/>
      <c r="Z32" s="192"/>
      <c r="AA32" s="193"/>
      <c r="AB32" s="194"/>
      <c r="AC32" s="190"/>
      <c r="AD32" s="190"/>
      <c r="AE32" s="190"/>
      <c r="AF32" s="190"/>
      <c r="AG32" s="191"/>
      <c r="AH32" s="102"/>
      <c r="AI32" s="102"/>
      <c r="AJ32" s="102"/>
      <c r="AK32" s="102"/>
      <c r="AL32" s="102"/>
      <c r="AM32" s="102"/>
      <c r="AN32" s="102"/>
      <c r="AO32" s="137"/>
      <c r="AP32" s="137"/>
      <c r="AQ32" s="137"/>
      <c r="AR32" s="137"/>
      <c r="AS32" s="137"/>
      <c r="AT32" s="137"/>
      <c r="AU32" s="137"/>
      <c r="AV32" s="137"/>
      <c r="AW32" s="137"/>
      <c r="AX32" s="137"/>
      <c r="AY32" s="137"/>
      <c r="AZ32" s="137"/>
      <c r="BA32" s="137"/>
      <c r="BB32" s="137"/>
      <c r="BC32" s="137"/>
      <c r="BD32" s="137"/>
      <c r="BE32" s="137"/>
      <c r="BF32" s="137"/>
      <c r="BG32" s="137"/>
      <c r="BH32" s="137"/>
      <c r="BI32" s="137"/>
      <c r="BJ32" s="137"/>
      <c r="BK32" s="137"/>
      <c r="BL32" s="137"/>
      <c r="BM32" s="137"/>
      <c r="BN32" s="137"/>
      <c r="BO32" s="137"/>
      <c r="BP32" s="137"/>
      <c r="BQ32" s="137"/>
      <c r="BR32" s="137"/>
      <c r="BS32" s="137"/>
      <c r="BT32" s="137"/>
      <c r="BU32" s="137"/>
      <c r="BV32" s="137"/>
      <c r="BW32" s="137"/>
      <c r="BX32" s="137"/>
      <c r="BY32" s="137"/>
      <c r="BZ32" s="137"/>
      <c r="CA32" s="137"/>
      <c r="CB32" s="137"/>
      <c r="CC32" s="137"/>
      <c r="CD32" s="137"/>
      <c r="CE32" s="137"/>
      <c r="CF32" s="137"/>
      <c r="CG32" s="137"/>
      <c r="CH32" s="137"/>
      <c r="CI32" s="137"/>
      <c r="CJ32" s="137"/>
      <c r="CK32" s="137"/>
      <c r="CL32" s="137"/>
      <c r="CM32" s="137"/>
      <c r="CN32" s="137"/>
      <c r="CO32" s="137"/>
      <c r="CP32" s="137"/>
      <c r="CQ32" s="137"/>
      <c r="CR32" s="137"/>
      <c r="CS32" s="137"/>
      <c r="CT32" s="137"/>
      <c r="CU32" s="137"/>
      <c r="CV32" s="137"/>
      <c r="CW32" s="137"/>
      <c r="CX32" s="137"/>
      <c r="CY32" s="137"/>
      <c r="CZ32" s="137"/>
      <c r="DA32" s="137"/>
      <c r="DB32" s="137"/>
      <c r="DC32" s="137"/>
      <c r="DD32" s="137"/>
      <c r="DE32" s="137"/>
      <c r="DF32" s="137"/>
      <c r="DG32" s="137"/>
      <c r="DH32" s="137"/>
      <c r="DI32" s="137"/>
      <c r="DJ32" s="137"/>
      <c r="DK32" s="137"/>
      <c r="DL32" s="137"/>
      <c r="DM32" s="137"/>
      <c r="DN32" s="137"/>
      <c r="DO32" s="137"/>
      <c r="DP32" s="137"/>
      <c r="DQ32" s="137"/>
      <c r="DR32" s="137"/>
      <c r="DS32" s="137"/>
      <c r="DT32" s="137"/>
      <c r="DU32" s="137"/>
      <c r="DV32" s="137"/>
      <c r="DW32" s="137"/>
      <c r="DX32" s="137"/>
      <c r="DY32" s="137"/>
      <c r="DZ32" s="137"/>
      <c r="EA32" s="137"/>
      <c r="EB32" s="137"/>
      <c r="EC32" s="137"/>
      <c r="ED32" s="137"/>
      <c r="EE32" s="137"/>
      <c r="EF32" s="137"/>
      <c r="EG32" s="137"/>
      <c r="EH32" s="137"/>
      <c r="EI32" s="137"/>
      <c r="EJ32" s="137"/>
      <c r="EK32" s="137"/>
      <c r="EL32" s="137"/>
      <c r="EM32" s="137"/>
      <c r="EN32" s="137"/>
      <c r="EO32" s="137"/>
      <c r="EP32" s="137"/>
      <c r="EQ32" s="137"/>
      <c r="ER32" s="137"/>
      <c r="ES32" s="137"/>
      <c r="ET32" s="137"/>
      <c r="EU32" s="137"/>
      <c r="EV32" s="137"/>
      <c r="EW32" s="137"/>
      <c r="EX32" s="137"/>
      <c r="EY32" s="137"/>
      <c r="EZ32" s="137"/>
      <c r="FA32" s="137"/>
      <c r="FB32" s="137"/>
      <c r="FC32" s="137"/>
      <c r="FD32" s="137"/>
      <c r="FE32" s="137"/>
      <c r="FF32" s="137"/>
      <c r="FG32" s="137"/>
      <c r="FH32" s="137"/>
      <c r="FI32" s="137"/>
      <c r="FJ32" s="137"/>
      <c r="FK32" s="137"/>
      <c r="FL32" s="137"/>
      <c r="FM32" s="137"/>
      <c r="FN32" s="137"/>
      <c r="FO32" s="137"/>
      <c r="FP32" s="137"/>
      <c r="FQ32" s="137"/>
      <c r="FR32" s="137"/>
      <c r="FS32" s="137"/>
      <c r="FT32" s="137"/>
      <c r="FU32" s="137"/>
      <c r="FV32" s="137"/>
      <c r="FW32" s="137"/>
      <c r="FX32" s="137"/>
      <c r="FY32" s="137"/>
      <c r="FZ32" s="137"/>
      <c r="GA32" s="137"/>
      <c r="GB32" s="137"/>
      <c r="GC32" s="137"/>
      <c r="GD32" s="137"/>
      <c r="GE32" s="137"/>
      <c r="GF32" s="137"/>
      <c r="GG32" s="137"/>
      <c r="GH32" s="137"/>
      <c r="GI32" s="137"/>
      <c r="GJ32" s="137"/>
      <c r="GK32" s="137"/>
      <c r="GL32" s="137"/>
      <c r="GM32" s="137"/>
      <c r="GN32" s="137"/>
      <c r="GO32" s="137"/>
      <c r="GP32" s="137"/>
      <c r="GQ32" s="137"/>
      <c r="GR32" s="137"/>
      <c r="GS32" s="137"/>
      <c r="GT32" s="137"/>
      <c r="GU32" s="137"/>
      <c r="GV32" s="137"/>
      <c r="GW32" s="137"/>
      <c r="GX32" s="137"/>
      <c r="GY32" s="137"/>
      <c r="GZ32" s="137"/>
      <c r="HA32" s="137"/>
      <c r="HB32" s="137"/>
      <c r="HC32" s="137"/>
      <c r="HD32" s="137"/>
      <c r="HE32" s="137"/>
      <c r="HF32" s="137"/>
      <c r="HG32" s="137"/>
      <c r="HH32" s="137"/>
      <c r="HI32" s="137"/>
      <c r="HJ32" s="137"/>
      <c r="HK32" s="137"/>
      <c r="HL32" s="137"/>
    </row>
    <row r="33" spans="1:220" s="93" customFormat="1" ht="15" hidden="1" customHeight="1">
      <c r="A33" s="299" t="s">
        <v>381</v>
      </c>
      <c r="B33" s="300"/>
      <c r="C33" s="301"/>
      <c r="D33" s="107"/>
      <c r="E33" s="121"/>
      <c r="F33" s="121"/>
      <c r="G33" s="121"/>
      <c r="H33" s="121"/>
      <c r="I33" s="121"/>
      <c r="J33" s="121"/>
      <c r="K33" s="152" t="e">
        <f>SUM(#REF!,K43,K44,K47,#REF!,#REF!,#REF!,#REF!)</f>
        <v>#REF!</v>
      </c>
      <c r="L33" s="152" t="e">
        <f>#REF!+L43+L44+L47+#REF!+#REF!+#REF!+#REF!</f>
        <v>#REF!</v>
      </c>
      <c r="M33" s="152" t="e">
        <f>#REF!+M43+M44+M47+#REF!+#REF!+#REF!+#REF!</f>
        <v>#REF!</v>
      </c>
      <c r="N33" s="152" t="e">
        <f>#REF!+N43+N44+N47+#REF!+#REF!+#REF!+#REF!</f>
        <v>#REF!</v>
      </c>
      <c r="O33" s="152" t="e">
        <f>#REF!+O43+O44+O47+#REF!+#REF!+#REF!+#REF!</f>
        <v>#REF!</v>
      </c>
      <c r="P33" s="152"/>
      <c r="Q33" s="152" t="e">
        <f>#REF!+Q43+Q44+Q47+#REF!+#REF!+#REF!+#REF!</f>
        <v>#REF!</v>
      </c>
      <c r="R33" s="152" t="e">
        <f>#REF!+R43+R44+R47+#REF!+#REF!+#REF!+#REF!</f>
        <v>#REF!</v>
      </c>
      <c r="S33" s="152" t="s">
        <v>348</v>
      </c>
      <c r="T33" s="187"/>
      <c r="U33" s="187"/>
      <c r="V33" s="190"/>
      <c r="W33" s="190"/>
      <c r="X33" s="190"/>
      <c r="Y33" s="190"/>
      <c r="Z33" s="192"/>
      <c r="AA33" s="193"/>
      <c r="AB33" s="194"/>
      <c r="AC33" s="190"/>
      <c r="AD33" s="190"/>
      <c r="AE33" s="190"/>
      <c r="AF33" s="190"/>
      <c r="AG33" s="191"/>
      <c r="AH33" s="102"/>
      <c r="AI33" s="102"/>
      <c r="AJ33" s="102"/>
      <c r="AK33" s="102"/>
      <c r="AL33" s="102"/>
      <c r="AM33" s="102"/>
      <c r="AN33" s="102"/>
      <c r="AO33" s="137"/>
      <c r="AP33" s="137"/>
      <c r="AQ33" s="137"/>
      <c r="AR33" s="137"/>
      <c r="AS33" s="137"/>
      <c r="AT33" s="137"/>
      <c r="AU33" s="137"/>
      <c r="AV33" s="137"/>
      <c r="AW33" s="137"/>
      <c r="AX33" s="137"/>
      <c r="AY33" s="137"/>
      <c r="AZ33" s="137"/>
      <c r="BA33" s="137"/>
      <c r="BB33" s="137"/>
      <c r="BC33" s="137"/>
      <c r="BD33" s="137"/>
      <c r="BE33" s="137"/>
      <c r="BF33" s="137"/>
      <c r="BG33" s="137"/>
      <c r="BH33" s="137"/>
      <c r="BI33" s="137"/>
      <c r="BJ33" s="137"/>
      <c r="BK33" s="137"/>
      <c r="BL33" s="137"/>
      <c r="BM33" s="137"/>
      <c r="BN33" s="137"/>
      <c r="BO33" s="137"/>
      <c r="BP33" s="137"/>
      <c r="BQ33" s="137"/>
      <c r="BR33" s="137"/>
      <c r="BS33" s="137"/>
      <c r="BT33" s="137"/>
      <c r="BU33" s="137"/>
      <c r="BV33" s="137"/>
      <c r="BW33" s="137"/>
      <c r="BX33" s="137"/>
      <c r="BY33" s="137"/>
      <c r="BZ33" s="137"/>
      <c r="CA33" s="137"/>
      <c r="CB33" s="137"/>
      <c r="CC33" s="137"/>
      <c r="CD33" s="137"/>
      <c r="CE33" s="137"/>
      <c r="CF33" s="137"/>
      <c r="CG33" s="137"/>
      <c r="CH33" s="137"/>
      <c r="CI33" s="137"/>
      <c r="CJ33" s="137"/>
      <c r="CK33" s="137"/>
      <c r="CL33" s="137"/>
      <c r="CM33" s="137"/>
      <c r="CN33" s="137"/>
      <c r="CO33" s="137"/>
      <c r="CP33" s="137"/>
      <c r="CQ33" s="137"/>
      <c r="CR33" s="137"/>
      <c r="CS33" s="137"/>
      <c r="CT33" s="137"/>
      <c r="CU33" s="137"/>
      <c r="CV33" s="137"/>
      <c r="CW33" s="137"/>
      <c r="CX33" s="137"/>
      <c r="CY33" s="137"/>
      <c r="CZ33" s="137"/>
      <c r="DA33" s="137"/>
      <c r="DB33" s="137"/>
      <c r="DC33" s="137"/>
      <c r="DD33" s="137"/>
      <c r="DE33" s="137"/>
      <c r="DF33" s="137"/>
      <c r="DG33" s="137"/>
      <c r="DH33" s="137"/>
      <c r="DI33" s="137"/>
      <c r="DJ33" s="137"/>
      <c r="DK33" s="137"/>
      <c r="DL33" s="137"/>
      <c r="DM33" s="137"/>
      <c r="DN33" s="137"/>
      <c r="DO33" s="137"/>
      <c r="DP33" s="137"/>
      <c r="DQ33" s="137"/>
      <c r="DR33" s="137"/>
      <c r="DS33" s="137"/>
      <c r="DT33" s="137"/>
      <c r="DU33" s="137"/>
      <c r="DV33" s="137"/>
      <c r="DW33" s="137"/>
      <c r="DX33" s="137"/>
      <c r="DY33" s="137"/>
      <c r="DZ33" s="137"/>
      <c r="EA33" s="137"/>
      <c r="EB33" s="137"/>
      <c r="EC33" s="137"/>
      <c r="ED33" s="137"/>
      <c r="EE33" s="137"/>
      <c r="EF33" s="137"/>
      <c r="EG33" s="137"/>
      <c r="EH33" s="137"/>
      <c r="EI33" s="137"/>
      <c r="EJ33" s="137"/>
      <c r="EK33" s="137"/>
      <c r="EL33" s="137"/>
      <c r="EM33" s="137"/>
      <c r="EN33" s="137"/>
      <c r="EO33" s="137"/>
      <c r="EP33" s="137"/>
      <c r="EQ33" s="137"/>
      <c r="ER33" s="137"/>
      <c r="ES33" s="137"/>
      <c r="ET33" s="137"/>
      <c r="EU33" s="137"/>
      <c r="EV33" s="137"/>
      <c r="EW33" s="137"/>
      <c r="EX33" s="137"/>
      <c r="EY33" s="137"/>
      <c r="EZ33" s="137"/>
      <c r="FA33" s="137"/>
      <c r="FB33" s="137"/>
      <c r="FC33" s="137"/>
      <c r="FD33" s="137"/>
      <c r="FE33" s="137"/>
      <c r="FF33" s="137"/>
      <c r="FG33" s="137"/>
      <c r="FH33" s="137"/>
      <c r="FI33" s="137"/>
      <c r="FJ33" s="137"/>
      <c r="FK33" s="137"/>
      <c r="FL33" s="137"/>
      <c r="FM33" s="137"/>
      <c r="FN33" s="137"/>
      <c r="FO33" s="137"/>
      <c r="FP33" s="137"/>
      <c r="FQ33" s="137"/>
      <c r="FR33" s="137"/>
      <c r="FS33" s="137"/>
      <c r="FT33" s="137"/>
      <c r="FU33" s="137"/>
      <c r="FV33" s="137"/>
      <c r="FW33" s="137"/>
      <c r="FX33" s="137"/>
      <c r="FY33" s="137"/>
      <c r="FZ33" s="137"/>
      <c r="GA33" s="137"/>
      <c r="GB33" s="137"/>
      <c r="GC33" s="137"/>
      <c r="GD33" s="137"/>
      <c r="GE33" s="137"/>
      <c r="GF33" s="137"/>
      <c r="GG33" s="137"/>
      <c r="GH33" s="137"/>
      <c r="GI33" s="137"/>
      <c r="GJ33" s="137"/>
      <c r="GK33" s="137"/>
      <c r="GL33" s="137"/>
      <c r="GM33" s="137"/>
      <c r="GN33" s="137"/>
      <c r="GO33" s="137"/>
      <c r="GP33" s="137"/>
      <c r="GQ33" s="137"/>
      <c r="GR33" s="137"/>
      <c r="GS33" s="137"/>
      <c r="GT33" s="137"/>
      <c r="GU33" s="137"/>
      <c r="GV33" s="137"/>
      <c r="GW33" s="137"/>
      <c r="GX33" s="137"/>
      <c r="GY33" s="137"/>
      <c r="GZ33" s="137"/>
      <c r="HA33" s="137"/>
      <c r="HB33" s="137"/>
      <c r="HC33" s="137"/>
      <c r="HD33" s="137"/>
      <c r="HE33" s="137"/>
      <c r="HF33" s="137"/>
      <c r="HG33" s="137"/>
      <c r="HH33" s="137"/>
      <c r="HI33" s="137"/>
      <c r="HJ33" s="137"/>
      <c r="HK33" s="137"/>
      <c r="HL33" s="137"/>
    </row>
    <row r="34" spans="1:220" s="218" customFormat="1" ht="65.25" customHeight="1">
      <c r="A34" s="225" t="s">
        <v>290</v>
      </c>
      <c r="B34" s="109">
        <v>2</v>
      </c>
      <c r="C34" s="259" t="s">
        <v>527</v>
      </c>
      <c r="D34" s="181" t="s">
        <v>444</v>
      </c>
      <c r="E34" s="220" t="s">
        <v>370</v>
      </c>
      <c r="F34" s="220" t="s">
        <v>376</v>
      </c>
      <c r="G34" s="220" t="s">
        <v>515</v>
      </c>
      <c r="H34" s="220" t="s">
        <v>507</v>
      </c>
      <c r="I34" s="229">
        <v>0.1</v>
      </c>
      <c r="J34" s="229">
        <v>1</v>
      </c>
      <c r="K34" s="262">
        <f>O34</f>
        <v>69925.958290398004</v>
      </c>
      <c r="L34" s="217">
        <v>69925.958290398004</v>
      </c>
      <c r="M34" s="215"/>
      <c r="N34" s="215"/>
      <c r="O34" s="262">
        <f>SUM(L34:N34)</f>
        <v>69925.958290398004</v>
      </c>
      <c r="P34" s="215" t="s">
        <v>457</v>
      </c>
      <c r="Q34" s="215">
        <v>0</v>
      </c>
      <c r="R34" s="215">
        <v>0</v>
      </c>
      <c r="S34" s="215" t="s">
        <v>497</v>
      </c>
    </row>
    <row r="35" spans="1:220" s="137" customFormat="1" ht="28.5" hidden="1" customHeight="1">
      <c r="A35" s="124" t="s">
        <v>291</v>
      </c>
      <c r="B35" s="148">
        <v>2</v>
      </c>
      <c r="C35" s="260" t="s">
        <v>394</v>
      </c>
      <c r="D35" s="123" t="s">
        <v>385</v>
      </c>
      <c r="E35" s="184" t="s">
        <v>324</v>
      </c>
      <c r="F35" s="184">
        <v>1</v>
      </c>
      <c r="G35" s="237" t="s">
        <v>516</v>
      </c>
      <c r="H35" s="221"/>
      <c r="I35" s="132">
        <v>1</v>
      </c>
      <c r="J35" s="132">
        <v>1</v>
      </c>
      <c r="K35" s="153">
        <v>28335.571892778116</v>
      </c>
      <c r="L35" s="153"/>
      <c r="M35" s="151"/>
      <c r="N35" s="153"/>
      <c r="O35" s="215">
        <f>SUM(L35:N35)</f>
        <v>0</v>
      </c>
      <c r="P35" s="151" t="s">
        <v>458</v>
      </c>
      <c r="Q35" s="151">
        <f>R35/7</f>
        <v>1534.1547061200652</v>
      </c>
      <c r="R35" s="151">
        <v>10739.082942840456</v>
      </c>
      <c r="S35" s="216" t="s">
        <v>495</v>
      </c>
      <c r="T35" s="187"/>
      <c r="U35" s="187"/>
      <c r="V35" s="190"/>
      <c r="W35" s="190"/>
      <c r="X35" s="190"/>
      <c r="Y35" s="190"/>
      <c r="Z35" s="192"/>
      <c r="AA35" s="193"/>
      <c r="AB35" s="195"/>
      <c r="AC35" s="190"/>
      <c r="AD35" s="190"/>
      <c r="AE35" s="190"/>
      <c r="AF35" s="190"/>
      <c r="AG35" s="191"/>
      <c r="AH35" s="102"/>
      <c r="AI35" s="102"/>
      <c r="AJ35" s="102"/>
      <c r="AK35" s="102"/>
      <c r="AL35" s="102"/>
      <c r="AM35" s="102"/>
      <c r="AN35" s="102"/>
    </row>
    <row r="36" spans="1:220" ht="36.75" hidden="1" customHeight="1">
      <c r="A36" s="124" t="s">
        <v>293</v>
      </c>
      <c r="B36" s="148">
        <v>5</v>
      </c>
      <c r="C36" s="139" t="s">
        <v>388</v>
      </c>
      <c r="D36" s="181" t="s">
        <v>465</v>
      </c>
      <c r="E36" s="184" t="s">
        <v>342</v>
      </c>
      <c r="F36" s="184">
        <v>3</v>
      </c>
      <c r="G36" s="221"/>
      <c r="H36" s="221"/>
      <c r="I36" s="113">
        <v>0</v>
      </c>
      <c r="J36" s="113">
        <v>0</v>
      </c>
      <c r="K36" s="153">
        <v>17474.891674692502</v>
      </c>
      <c r="L36" s="216">
        <v>15474.891674692501</v>
      </c>
      <c r="M36" s="151"/>
      <c r="N36" s="153"/>
      <c r="O36" s="215">
        <f>SUM(L36:N36)</f>
        <v>15474.891674692501</v>
      </c>
      <c r="P36" s="151" t="s">
        <v>458</v>
      </c>
      <c r="Q36" s="151">
        <v>66.682277220870503</v>
      </c>
      <c r="R36" s="151">
        <f t="shared" ref="R36" si="4">Q36*5</f>
        <v>333.41138610435252</v>
      </c>
      <c r="S36" s="151" t="s">
        <v>496</v>
      </c>
      <c r="T36" s="187"/>
      <c r="U36" s="187"/>
      <c r="V36" s="190"/>
      <c r="W36" s="190"/>
      <c r="X36" s="190"/>
      <c r="Y36" s="190"/>
      <c r="Z36" s="192"/>
      <c r="AA36" s="193"/>
      <c r="AB36" s="194"/>
      <c r="AC36" s="190"/>
      <c r="AD36" s="190"/>
      <c r="AE36" s="190"/>
      <c r="AF36" s="190"/>
      <c r="AG36" s="191"/>
      <c r="AH36" s="101"/>
      <c r="AI36" s="101"/>
      <c r="AJ36" s="101"/>
      <c r="AK36" s="101"/>
      <c r="AL36" s="101"/>
      <c r="AM36" s="101"/>
      <c r="AN36" s="101"/>
    </row>
    <row r="37" spans="1:220" ht="40.5" hidden="1" customHeight="1">
      <c r="A37" s="124" t="s">
        <v>295</v>
      </c>
      <c r="B37" s="128">
        <v>5</v>
      </c>
      <c r="C37" s="139" t="s">
        <v>429</v>
      </c>
      <c r="D37" s="131" t="s">
        <v>478</v>
      </c>
      <c r="E37" s="127" t="s">
        <v>342</v>
      </c>
      <c r="F37" s="127">
        <v>1</v>
      </c>
      <c r="G37" s="221"/>
      <c r="H37" s="221"/>
      <c r="I37" s="132">
        <v>0</v>
      </c>
      <c r="J37" s="132">
        <v>0</v>
      </c>
      <c r="K37" s="153">
        <v>22195</v>
      </c>
      <c r="L37" s="149">
        <v>21192</v>
      </c>
      <c r="M37" s="151"/>
      <c r="N37" s="161"/>
      <c r="O37" s="215">
        <f>SUM(L37:N37)</f>
        <v>21192</v>
      </c>
      <c r="P37" s="151" t="s">
        <v>458</v>
      </c>
      <c r="Q37" s="151">
        <v>134.12306346296575</v>
      </c>
      <c r="R37" s="151">
        <f>Q37*6</f>
        <v>804.73838077779442</v>
      </c>
      <c r="S37" s="151" t="s">
        <v>496</v>
      </c>
      <c r="T37" s="187"/>
      <c r="U37" s="187"/>
      <c r="V37" s="190"/>
      <c r="W37" s="190"/>
      <c r="X37" s="190"/>
      <c r="Y37" s="190"/>
      <c r="Z37" s="190"/>
      <c r="AA37" s="190"/>
      <c r="AB37" s="190"/>
      <c r="AC37" s="190"/>
      <c r="AD37" s="190"/>
      <c r="AE37" s="190"/>
      <c r="AF37" s="190"/>
      <c r="AG37" s="191"/>
      <c r="AH37" s="101"/>
      <c r="AI37" s="101"/>
      <c r="AJ37" s="101"/>
      <c r="AK37" s="101"/>
      <c r="AL37" s="101"/>
      <c r="AM37" s="101"/>
      <c r="AN37" s="101"/>
    </row>
    <row r="38" spans="1:220" s="218" customFormat="1" ht="61.5" customHeight="1">
      <c r="A38" s="225" t="s">
        <v>297</v>
      </c>
      <c r="B38" s="109">
        <v>3</v>
      </c>
      <c r="C38" s="259" t="s">
        <v>528</v>
      </c>
      <c r="D38" s="240" t="s">
        <v>533</v>
      </c>
      <c r="E38" s="220" t="s">
        <v>396</v>
      </c>
      <c r="F38" s="220" t="s">
        <v>534</v>
      </c>
      <c r="G38" s="220" t="s">
        <v>517</v>
      </c>
      <c r="H38" s="220" t="s">
        <v>507</v>
      </c>
      <c r="I38" s="229">
        <v>0</v>
      </c>
      <c r="J38" s="229">
        <v>0</v>
      </c>
      <c r="K38" s="262">
        <f t="shared" ref="K38:K42" si="5">O38</f>
        <v>328011.81551292131</v>
      </c>
      <c r="L38" s="215"/>
      <c r="M38" s="215">
        <v>328011.81551292131</v>
      </c>
      <c r="N38" s="215"/>
      <c r="O38" s="262">
        <f>SUM(L38:N38)</f>
        <v>328011.81551292131</v>
      </c>
      <c r="P38" s="215" t="s">
        <v>457</v>
      </c>
      <c r="Q38" s="215">
        <v>5831.8281904906189</v>
      </c>
      <c r="R38" s="215">
        <f>Q38*5</f>
        <v>29159.140952453094</v>
      </c>
      <c r="S38" s="215" t="s">
        <v>497</v>
      </c>
      <c r="T38" s="230"/>
      <c r="U38" s="230"/>
      <c r="V38" s="230"/>
      <c r="W38" s="230"/>
      <c r="X38" s="230"/>
      <c r="Y38" s="230"/>
      <c r="Z38" s="230"/>
      <c r="AA38" s="230"/>
      <c r="AB38" s="230"/>
      <c r="AC38" s="230"/>
      <c r="AD38" s="230"/>
      <c r="AE38" s="230"/>
      <c r="AF38" s="230"/>
    </row>
    <row r="39" spans="1:220" s="218" customFormat="1" ht="71.25" customHeight="1">
      <c r="A39" s="225" t="s">
        <v>298</v>
      </c>
      <c r="B39" s="109">
        <v>2</v>
      </c>
      <c r="C39" s="259" t="s">
        <v>529</v>
      </c>
      <c r="D39" s="240" t="s">
        <v>530</v>
      </c>
      <c r="E39" s="220" t="s">
        <v>370</v>
      </c>
      <c r="F39" s="220" t="s">
        <v>418</v>
      </c>
      <c r="G39" s="237" t="s">
        <v>518</v>
      </c>
      <c r="H39" s="220" t="s">
        <v>519</v>
      </c>
      <c r="I39" s="229">
        <v>0</v>
      </c>
      <c r="J39" s="229">
        <v>0</v>
      </c>
      <c r="K39" s="262">
        <f t="shared" si="5"/>
        <v>191815.55646202699</v>
      </c>
      <c r="L39" s="238">
        <v>188315.55646202699</v>
      </c>
      <c r="M39" s="238">
        <v>3500</v>
      </c>
      <c r="N39" s="215"/>
      <c r="O39" s="262">
        <f>SUM(L39:N39)</f>
        <v>191815.55646202699</v>
      </c>
      <c r="P39" s="215" t="s">
        <v>458</v>
      </c>
      <c r="Q39" s="215">
        <v>1199.5968222243707</v>
      </c>
      <c r="R39" s="215">
        <f t="shared" ref="R39:R56" si="6">Q39*5</f>
        <v>5997.9841111218539</v>
      </c>
      <c r="S39" s="215" t="s">
        <v>497</v>
      </c>
      <c r="T39" s="230"/>
      <c r="U39" s="230"/>
      <c r="V39" s="231"/>
      <c r="W39" s="231"/>
      <c r="X39" s="231"/>
      <c r="Y39" s="231"/>
      <c r="Z39" s="232"/>
      <c r="AA39" s="233"/>
      <c r="AB39" s="239"/>
      <c r="AC39" s="231"/>
      <c r="AD39" s="231"/>
      <c r="AE39" s="231"/>
      <c r="AF39" s="231"/>
      <c r="AG39" s="235"/>
      <c r="AH39" s="235"/>
      <c r="AI39" s="235"/>
      <c r="AJ39" s="235"/>
      <c r="AK39" s="235"/>
      <c r="AL39" s="235"/>
      <c r="AM39" s="235"/>
      <c r="AN39" s="235"/>
    </row>
    <row r="40" spans="1:220" s="218" customFormat="1" ht="75" customHeight="1">
      <c r="A40" s="225" t="s">
        <v>299</v>
      </c>
      <c r="B40" s="109">
        <v>4</v>
      </c>
      <c r="C40" s="259" t="s">
        <v>474</v>
      </c>
      <c r="D40" s="226" t="s">
        <v>403</v>
      </c>
      <c r="E40" s="220" t="s">
        <v>370</v>
      </c>
      <c r="F40" s="220" t="s">
        <v>402</v>
      </c>
      <c r="G40" s="237" t="s">
        <v>520</v>
      </c>
      <c r="H40" s="220" t="s">
        <v>507</v>
      </c>
      <c r="I40" s="229">
        <v>0</v>
      </c>
      <c r="J40" s="229">
        <v>0</v>
      </c>
      <c r="K40" s="262">
        <f t="shared" si="5"/>
        <v>154368.03550841674</v>
      </c>
      <c r="L40" s="215"/>
      <c r="M40" s="217">
        <v>154368.03550841674</v>
      </c>
      <c r="N40" s="215"/>
      <c r="O40" s="262">
        <f>SUM(L40:N40)</f>
        <v>154368.03550841674</v>
      </c>
      <c r="P40" s="215" t="s">
        <v>458</v>
      </c>
      <c r="Q40" s="215">
        <v>1180.5914451193257</v>
      </c>
      <c r="R40" s="215">
        <f t="shared" si="6"/>
        <v>5902.9572255966286</v>
      </c>
      <c r="S40" s="215" t="s">
        <v>497</v>
      </c>
      <c r="T40" s="230"/>
      <c r="U40" s="230"/>
      <c r="V40" s="231"/>
      <c r="W40" s="231"/>
      <c r="X40" s="231"/>
      <c r="Y40" s="231"/>
      <c r="Z40" s="232"/>
      <c r="AA40" s="233"/>
      <c r="AB40" s="239"/>
      <c r="AC40" s="231"/>
      <c r="AD40" s="231"/>
      <c r="AE40" s="231"/>
      <c r="AF40" s="231"/>
      <c r="AG40" s="235"/>
      <c r="AH40" s="235"/>
      <c r="AI40" s="235"/>
      <c r="AJ40" s="235"/>
      <c r="AK40" s="235"/>
      <c r="AL40" s="235"/>
      <c r="AM40" s="235"/>
      <c r="AN40" s="235"/>
    </row>
    <row r="41" spans="1:220" s="218" customFormat="1" ht="70.5" customHeight="1">
      <c r="A41" s="225" t="s">
        <v>300</v>
      </c>
      <c r="B41" s="109">
        <v>3</v>
      </c>
      <c r="C41" s="259" t="s">
        <v>399</v>
      </c>
      <c r="D41" s="181" t="s">
        <v>538</v>
      </c>
      <c r="E41" s="220" t="s">
        <v>342</v>
      </c>
      <c r="F41" s="220">
        <v>1</v>
      </c>
      <c r="G41" s="237" t="s">
        <v>521</v>
      </c>
      <c r="H41" s="220" t="s">
        <v>507</v>
      </c>
      <c r="I41" s="229">
        <v>0</v>
      </c>
      <c r="J41" s="229">
        <v>0</v>
      </c>
      <c r="K41" s="262">
        <f t="shared" si="5"/>
        <v>141589.62680371956</v>
      </c>
      <c r="L41" s="215"/>
      <c r="M41" s="264"/>
      <c r="N41" s="217">
        <v>141589.62680371956</v>
      </c>
      <c r="O41" s="262">
        <f>SUM(L41:N41)</f>
        <v>141589.62680371956</v>
      </c>
      <c r="P41" s="215" t="s">
        <v>458</v>
      </c>
      <c r="Q41" s="215">
        <v>184.50749694323068</v>
      </c>
      <c r="R41" s="215">
        <f t="shared" si="6"/>
        <v>922.53748471615336</v>
      </c>
      <c r="S41" s="215" t="s">
        <v>497</v>
      </c>
      <c r="T41" s="230"/>
      <c r="U41" s="230"/>
      <c r="V41" s="231"/>
      <c r="W41" s="231"/>
      <c r="X41" s="231"/>
      <c r="Y41" s="231"/>
      <c r="Z41" s="232"/>
      <c r="AA41" s="233"/>
      <c r="AB41" s="239"/>
      <c r="AC41" s="231"/>
      <c r="AD41" s="231"/>
      <c r="AE41" s="231"/>
      <c r="AF41" s="231"/>
      <c r="AG41" s="235"/>
      <c r="AH41" s="235"/>
      <c r="AI41" s="235"/>
      <c r="AJ41" s="235"/>
      <c r="AK41" s="235"/>
      <c r="AL41" s="235"/>
      <c r="AM41" s="235"/>
      <c r="AN41" s="235"/>
    </row>
    <row r="42" spans="1:220" s="218" customFormat="1" ht="69" customHeight="1">
      <c r="A42" s="225" t="s">
        <v>301</v>
      </c>
      <c r="B42" s="109">
        <v>1</v>
      </c>
      <c r="C42" s="259" t="s">
        <v>531</v>
      </c>
      <c r="D42" s="159" t="s">
        <v>537</v>
      </c>
      <c r="E42" s="220" t="s">
        <v>342</v>
      </c>
      <c r="F42" s="220">
        <v>1</v>
      </c>
      <c r="G42" s="237" t="s">
        <v>522</v>
      </c>
      <c r="H42" s="220" t="s">
        <v>507</v>
      </c>
      <c r="I42" s="229">
        <v>0</v>
      </c>
      <c r="J42" s="229">
        <v>0</v>
      </c>
      <c r="K42" s="262">
        <f t="shared" si="5"/>
        <v>54685.965849263834</v>
      </c>
      <c r="L42" s="178"/>
      <c r="M42" s="178"/>
      <c r="N42" s="217">
        <v>54685.965849263834</v>
      </c>
      <c r="O42" s="262">
        <f>SUM(L42:N42)</f>
        <v>54685.965849263834</v>
      </c>
      <c r="P42" s="215" t="s">
        <v>458</v>
      </c>
      <c r="Q42" s="215">
        <v>64.729475839817241</v>
      </c>
      <c r="R42" s="215">
        <f t="shared" si="6"/>
        <v>323.64737919908623</v>
      </c>
      <c r="S42" s="215" t="s">
        <v>497</v>
      </c>
      <c r="T42" s="230"/>
      <c r="U42" s="230"/>
      <c r="V42" s="231"/>
      <c r="W42" s="231"/>
      <c r="X42" s="231"/>
      <c r="Y42" s="231"/>
      <c r="Z42" s="232"/>
      <c r="AA42" s="233"/>
      <c r="AB42" s="239"/>
      <c r="AC42" s="231"/>
      <c r="AD42" s="231"/>
      <c r="AE42" s="231"/>
      <c r="AF42" s="231"/>
      <c r="AG42" s="235"/>
      <c r="AH42" s="235"/>
      <c r="AI42" s="235"/>
      <c r="AJ42" s="235"/>
      <c r="AK42" s="235"/>
      <c r="AL42" s="235"/>
      <c r="AM42" s="235"/>
      <c r="AN42" s="235"/>
    </row>
    <row r="43" spans="1:220" ht="53.25" hidden="1" customHeight="1">
      <c r="A43" s="124" t="s">
        <v>344</v>
      </c>
      <c r="B43" s="148">
        <v>6</v>
      </c>
      <c r="C43" s="139" t="s">
        <v>432</v>
      </c>
      <c r="D43" s="123" t="s">
        <v>433</v>
      </c>
      <c r="E43" s="184" t="s">
        <v>342</v>
      </c>
      <c r="F43" s="184">
        <v>1</v>
      </c>
      <c r="G43" s="221"/>
      <c r="H43" s="221"/>
      <c r="I43" s="113">
        <v>0</v>
      </c>
      <c r="J43" s="113">
        <v>0</v>
      </c>
      <c r="K43" s="153">
        <v>27708.862654301127</v>
      </c>
      <c r="L43" s="153"/>
      <c r="M43" s="153">
        <v>25708.862654301127</v>
      </c>
      <c r="N43" s="153"/>
      <c r="O43" s="215">
        <f>SUM(L43:N43)</f>
        <v>25708.862654301127</v>
      </c>
      <c r="P43" s="151" t="s">
        <v>458</v>
      </c>
      <c r="Q43" s="151">
        <v>125.55730001210539</v>
      </c>
      <c r="R43" s="153">
        <f t="shared" si="6"/>
        <v>627.78650006052692</v>
      </c>
      <c r="S43" s="153" t="s">
        <v>496</v>
      </c>
      <c r="T43" s="187"/>
      <c r="U43" s="187"/>
      <c r="V43" s="190"/>
      <c r="W43" s="190"/>
      <c r="X43" s="190"/>
      <c r="Y43" s="190"/>
      <c r="Z43" s="192"/>
      <c r="AA43" s="193"/>
      <c r="AB43" s="194"/>
      <c r="AC43" s="190"/>
      <c r="AD43" s="190"/>
      <c r="AE43" s="190"/>
      <c r="AF43" s="190"/>
      <c r="AG43" s="191"/>
      <c r="AH43" s="101"/>
      <c r="AI43" s="101"/>
      <c r="AJ43" s="101"/>
      <c r="AK43" s="101"/>
      <c r="AL43" s="101"/>
      <c r="AM43" s="101"/>
      <c r="AN43" s="101"/>
    </row>
    <row r="44" spans="1:220" ht="43.5" hidden="1" customHeight="1">
      <c r="A44" s="124" t="s">
        <v>302</v>
      </c>
      <c r="B44" s="129">
        <v>6</v>
      </c>
      <c r="C44" s="139" t="s">
        <v>435</v>
      </c>
      <c r="D44" s="123" t="s">
        <v>434</v>
      </c>
      <c r="E44" s="184" t="s">
        <v>342</v>
      </c>
      <c r="F44" s="184">
        <v>1</v>
      </c>
      <c r="G44" s="221"/>
      <c r="H44" s="221"/>
      <c r="I44" s="113">
        <v>0</v>
      </c>
      <c r="J44" s="113">
        <v>0</v>
      </c>
      <c r="K44" s="153">
        <v>18059</v>
      </c>
      <c r="L44" s="153"/>
      <c r="M44" s="153">
        <v>17243</v>
      </c>
      <c r="N44" s="153"/>
      <c r="O44" s="215">
        <f>SUM(L44:N44)</f>
        <v>17243</v>
      </c>
      <c r="P44" s="151" t="s">
        <v>458</v>
      </c>
      <c r="Q44" s="151">
        <v>18.937367844919741</v>
      </c>
      <c r="R44" s="153">
        <f t="shared" si="6"/>
        <v>94.686839224598714</v>
      </c>
      <c r="S44" s="153" t="s">
        <v>496</v>
      </c>
      <c r="T44" s="187"/>
      <c r="U44" s="187"/>
      <c r="V44" s="190"/>
      <c r="W44" s="190"/>
      <c r="X44" s="190"/>
      <c r="Y44" s="190"/>
      <c r="Z44" s="192"/>
      <c r="AA44" s="193"/>
      <c r="AB44" s="194"/>
      <c r="AC44" s="190"/>
      <c r="AD44" s="190"/>
      <c r="AE44" s="190"/>
      <c r="AF44" s="190"/>
      <c r="AG44" s="191"/>
      <c r="AH44" s="101"/>
      <c r="AI44" s="101"/>
      <c r="AJ44" s="101"/>
      <c r="AK44" s="101"/>
      <c r="AL44" s="101"/>
      <c r="AM44" s="101"/>
      <c r="AN44" s="101"/>
    </row>
    <row r="45" spans="1:220" ht="48" hidden="1" customHeight="1">
      <c r="A45" s="124" t="s">
        <v>303</v>
      </c>
      <c r="B45" s="148">
        <v>1</v>
      </c>
      <c r="C45" s="139" t="s">
        <v>439</v>
      </c>
      <c r="D45" s="131" t="s">
        <v>392</v>
      </c>
      <c r="E45" s="184" t="s">
        <v>324</v>
      </c>
      <c r="F45" s="184">
        <v>1</v>
      </c>
      <c r="G45" s="221"/>
      <c r="H45" s="221"/>
      <c r="I45" s="113">
        <v>0</v>
      </c>
      <c r="J45" s="113">
        <v>0</v>
      </c>
      <c r="K45" s="153">
        <v>8909.1828402529318</v>
      </c>
      <c r="L45" s="151"/>
      <c r="M45" s="151">
        <v>8484.9360383361254</v>
      </c>
      <c r="N45" s="153"/>
      <c r="O45" s="215">
        <f>SUM(L45:N45)</f>
        <v>8484.9360383361254</v>
      </c>
      <c r="P45" s="151" t="s">
        <v>493</v>
      </c>
      <c r="Q45" s="151">
        <v>19.47580723140743</v>
      </c>
      <c r="R45" s="153">
        <f t="shared" si="6"/>
        <v>97.379036157037149</v>
      </c>
      <c r="S45" s="153" t="s">
        <v>495</v>
      </c>
      <c r="T45" s="187"/>
      <c r="U45" s="187"/>
      <c r="V45" s="190"/>
      <c r="W45" s="190"/>
      <c r="X45" s="190"/>
      <c r="Y45" s="190"/>
      <c r="Z45" s="192"/>
      <c r="AA45" s="193"/>
      <c r="AB45" s="194"/>
      <c r="AC45" s="190"/>
      <c r="AD45" s="190"/>
      <c r="AE45" s="190"/>
      <c r="AF45" s="190"/>
      <c r="AG45" s="191"/>
      <c r="AH45" s="101"/>
      <c r="AI45" s="101"/>
      <c r="AJ45" s="101"/>
      <c r="AK45" s="101"/>
      <c r="AL45" s="101"/>
      <c r="AM45" s="101"/>
      <c r="AN45" s="101"/>
    </row>
    <row r="46" spans="1:220" s="93" customFormat="1" ht="33.75" hidden="1" customHeight="1">
      <c r="A46" s="124" t="s">
        <v>304</v>
      </c>
      <c r="B46" s="153">
        <v>1</v>
      </c>
      <c r="C46" s="201" t="s">
        <v>466</v>
      </c>
      <c r="D46" s="103" t="s">
        <v>487</v>
      </c>
      <c r="E46" s="122" t="s">
        <v>324</v>
      </c>
      <c r="F46" s="122">
        <v>3</v>
      </c>
      <c r="G46" s="122"/>
      <c r="H46" s="122"/>
      <c r="I46" s="113">
        <v>0</v>
      </c>
      <c r="J46" s="113">
        <v>0</v>
      </c>
      <c r="K46" s="153">
        <v>21281.646990725825</v>
      </c>
      <c r="L46" s="151"/>
      <c r="M46" s="151">
        <v>19281.646990725825</v>
      </c>
      <c r="N46" s="153"/>
      <c r="O46" s="215">
        <f>SUM(L46:N46)</f>
        <v>19281.646990725825</v>
      </c>
      <c r="P46" s="151" t="s">
        <v>458</v>
      </c>
      <c r="Q46" s="151">
        <v>997.5166124777063</v>
      </c>
      <c r="R46" s="153">
        <f t="shared" si="6"/>
        <v>4987.5830623885313</v>
      </c>
      <c r="S46" s="153" t="s">
        <v>496</v>
      </c>
      <c r="T46" s="187"/>
      <c r="U46" s="187"/>
      <c r="V46" s="190"/>
      <c r="W46" s="190"/>
      <c r="X46" s="190"/>
      <c r="Y46" s="190"/>
      <c r="Z46" s="192"/>
      <c r="AA46" s="193"/>
      <c r="AB46" s="194"/>
      <c r="AC46" s="190"/>
      <c r="AD46" s="190"/>
      <c r="AE46" s="190"/>
      <c r="AF46" s="190"/>
      <c r="AG46" s="191"/>
      <c r="AH46" s="196"/>
      <c r="AI46" s="196"/>
      <c r="AJ46" s="196"/>
      <c r="AK46" s="196"/>
      <c r="AL46" s="196"/>
      <c r="AM46" s="196"/>
      <c r="AN46" s="196"/>
    </row>
    <row r="47" spans="1:220" s="218" customFormat="1" ht="79.5" customHeight="1">
      <c r="A47" s="225" t="s">
        <v>305</v>
      </c>
      <c r="B47" s="109">
        <v>6</v>
      </c>
      <c r="C47" s="259" t="s">
        <v>430</v>
      </c>
      <c r="D47" s="181" t="s">
        <v>431</v>
      </c>
      <c r="E47" s="220" t="s">
        <v>342</v>
      </c>
      <c r="F47" s="220">
        <v>1</v>
      </c>
      <c r="G47" s="237" t="s">
        <v>523</v>
      </c>
      <c r="H47" s="220" t="s">
        <v>507</v>
      </c>
      <c r="I47" s="229">
        <v>0</v>
      </c>
      <c r="J47" s="229">
        <v>0</v>
      </c>
      <c r="K47" s="262">
        <f t="shared" ref="K47:K48" si="7">O47</f>
        <v>240044.05522239898</v>
      </c>
      <c r="L47" s="215"/>
      <c r="M47" s="217">
        <v>221244.64693903914</v>
      </c>
      <c r="N47" s="217">
        <v>18799.408283359848</v>
      </c>
      <c r="O47" s="262">
        <f>SUM(L47:N47)</f>
        <v>240044.05522239898</v>
      </c>
      <c r="P47" s="215" t="s">
        <v>458</v>
      </c>
      <c r="Q47" s="215">
        <v>363.64248767821118</v>
      </c>
      <c r="R47" s="215">
        <f t="shared" si="6"/>
        <v>1818.2124383910559</v>
      </c>
      <c r="S47" s="215" t="s">
        <v>497</v>
      </c>
      <c r="T47" s="230"/>
      <c r="U47" s="230"/>
      <c r="V47" s="231"/>
      <c r="W47" s="231"/>
      <c r="X47" s="231"/>
      <c r="Y47" s="231"/>
      <c r="Z47" s="232"/>
      <c r="AA47" s="233"/>
      <c r="AB47" s="239"/>
      <c r="AC47" s="231"/>
      <c r="AD47" s="231"/>
      <c r="AE47" s="231"/>
      <c r="AF47" s="231"/>
      <c r="AG47" s="235"/>
      <c r="AH47" s="235"/>
      <c r="AI47" s="235"/>
      <c r="AJ47" s="235"/>
      <c r="AK47" s="235"/>
      <c r="AL47" s="235"/>
      <c r="AM47" s="235"/>
      <c r="AN47" s="235"/>
    </row>
    <row r="48" spans="1:220" s="218" customFormat="1" ht="28.5">
      <c r="A48" s="225" t="s">
        <v>306</v>
      </c>
      <c r="B48" s="109">
        <v>4</v>
      </c>
      <c r="C48" s="259" t="s">
        <v>532</v>
      </c>
      <c r="D48" s="181" t="s">
        <v>467</v>
      </c>
      <c r="E48" s="220" t="s">
        <v>342</v>
      </c>
      <c r="F48" s="220">
        <v>1</v>
      </c>
      <c r="G48" s="237" t="s">
        <v>524</v>
      </c>
      <c r="H48" s="220" t="s">
        <v>507</v>
      </c>
      <c r="I48" s="229">
        <v>0</v>
      </c>
      <c r="J48" s="229">
        <v>0</v>
      </c>
      <c r="K48" s="262">
        <f t="shared" si="7"/>
        <v>38377.397949999999</v>
      </c>
      <c r="L48" s="215"/>
      <c r="M48" s="217"/>
      <c r="N48" s="217">
        <v>38377.397949999999</v>
      </c>
      <c r="O48" s="262">
        <f>SUM(L48:N48)</f>
        <v>38377.397949999999</v>
      </c>
      <c r="P48" s="215" t="s">
        <v>457</v>
      </c>
      <c r="Q48" s="215">
        <v>171.25044996777686</v>
      </c>
      <c r="R48" s="215">
        <f t="shared" si="6"/>
        <v>856.25224983888427</v>
      </c>
      <c r="S48" s="215" t="s">
        <v>497</v>
      </c>
      <c r="T48" s="230"/>
      <c r="U48" s="230"/>
      <c r="V48" s="231"/>
      <c r="W48" s="231"/>
      <c r="X48" s="231"/>
      <c r="Y48" s="231"/>
      <c r="Z48" s="232"/>
      <c r="AA48" s="233"/>
      <c r="AB48" s="239"/>
      <c r="AC48" s="231"/>
      <c r="AD48" s="231"/>
      <c r="AE48" s="231"/>
      <c r="AF48" s="231"/>
      <c r="AG48" s="235"/>
      <c r="AH48" s="235"/>
      <c r="AI48" s="235"/>
      <c r="AJ48" s="235"/>
      <c r="AK48" s="235"/>
      <c r="AL48" s="235"/>
      <c r="AM48" s="235"/>
      <c r="AN48" s="235"/>
    </row>
    <row r="49" spans="1:40" s="15" customFormat="1" ht="50.25" hidden="1" customHeight="1">
      <c r="A49" s="124" t="s">
        <v>307</v>
      </c>
      <c r="B49" s="119">
        <v>4</v>
      </c>
      <c r="C49" s="139" t="s">
        <v>407</v>
      </c>
      <c r="D49" s="100" t="s">
        <v>404</v>
      </c>
      <c r="E49" s="118" t="s">
        <v>324</v>
      </c>
      <c r="F49" s="118">
        <v>6</v>
      </c>
      <c r="G49" s="221"/>
      <c r="H49" s="221"/>
      <c r="I49" s="113">
        <v>0</v>
      </c>
      <c r="J49" s="113">
        <v>0</v>
      </c>
      <c r="K49" s="153">
        <v>32463.742500000004</v>
      </c>
      <c r="L49" s="153"/>
      <c r="M49" s="151">
        <f>((5*5235)+2190)*1.09</f>
        <v>30917.850000000002</v>
      </c>
      <c r="N49" s="153"/>
      <c r="O49" s="215">
        <f>SUM(L49:N49)</f>
        <v>30917.850000000002</v>
      </c>
      <c r="P49" s="151" t="s">
        <v>458</v>
      </c>
      <c r="Q49" s="151">
        <v>171.25044996777686</v>
      </c>
      <c r="R49" s="153">
        <f t="shared" si="6"/>
        <v>856.25224983888427</v>
      </c>
      <c r="S49" s="153" t="s">
        <v>496</v>
      </c>
      <c r="T49" s="187"/>
      <c r="U49" s="187"/>
      <c r="V49" s="190"/>
      <c r="W49" s="190"/>
      <c r="X49" s="190"/>
      <c r="Y49" s="190"/>
      <c r="Z49" s="190"/>
      <c r="AA49" s="190"/>
      <c r="AB49" s="190"/>
      <c r="AC49" s="190"/>
      <c r="AD49" s="190"/>
      <c r="AE49" s="190"/>
      <c r="AF49" s="190"/>
      <c r="AG49" s="191"/>
      <c r="AH49" s="101"/>
      <c r="AI49" s="101"/>
      <c r="AJ49" s="101"/>
      <c r="AK49" s="101"/>
      <c r="AL49" s="101"/>
      <c r="AM49" s="101"/>
      <c r="AN49" s="101"/>
    </row>
    <row r="50" spans="1:40" s="15" customFormat="1" ht="48.75" hidden="1" customHeight="1">
      <c r="A50" s="124" t="s">
        <v>308</v>
      </c>
      <c r="B50" s="119">
        <v>5</v>
      </c>
      <c r="C50" s="139" t="s">
        <v>390</v>
      </c>
      <c r="D50" s="99" t="s">
        <v>419</v>
      </c>
      <c r="E50" s="118"/>
      <c r="F50" s="118"/>
      <c r="G50" s="221"/>
      <c r="H50" s="221"/>
      <c r="I50" s="113">
        <v>0</v>
      </c>
      <c r="J50" s="113">
        <v>0</v>
      </c>
      <c r="K50" s="153">
        <v>12916.05</v>
      </c>
      <c r="L50" s="180"/>
      <c r="M50" s="180">
        <v>12301</v>
      </c>
      <c r="N50" s="153"/>
      <c r="O50" s="215">
        <f>SUM(L50:N50)</f>
        <v>12301</v>
      </c>
      <c r="P50" s="151" t="s">
        <v>458</v>
      </c>
      <c r="Q50" s="108">
        <v>16.842291912039926</v>
      </c>
      <c r="R50" s="153">
        <f t="shared" si="6"/>
        <v>84.211459560199629</v>
      </c>
      <c r="S50" s="153" t="s">
        <v>495</v>
      </c>
      <c r="T50" s="187"/>
      <c r="U50" s="187"/>
      <c r="V50" s="190"/>
      <c r="W50" s="190"/>
      <c r="X50" s="190"/>
      <c r="Y50" s="190"/>
      <c r="Z50" s="190"/>
      <c r="AA50" s="190"/>
      <c r="AB50" s="190"/>
      <c r="AC50" s="190"/>
      <c r="AD50" s="190"/>
      <c r="AE50" s="190"/>
      <c r="AF50" s="190"/>
      <c r="AG50" s="191"/>
      <c r="AH50" s="101"/>
      <c r="AI50" s="101"/>
      <c r="AJ50" s="101"/>
      <c r="AK50" s="101"/>
      <c r="AL50" s="101"/>
      <c r="AM50" s="101"/>
      <c r="AN50" s="101"/>
    </row>
    <row r="51" spans="1:40" ht="51.75" hidden="1" customHeight="1">
      <c r="A51" s="124" t="s">
        <v>309</v>
      </c>
      <c r="B51" s="148">
        <v>4</v>
      </c>
      <c r="C51" s="139" t="s">
        <v>409</v>
      </c>
      <c r="D51" s="139" t="s">
        <v>408</v>
      </c>
      <c r="E51" s="167" t="s">
        <v>342</v>
      </c>
      <c r="F51" s="167">
        <v>1</v>
      </c>
      <c r="G51" s="221"/>
      <c r="H51" s="221"/>
      <c r="I51" s="132">
        <v>0</v>
      </c>
      <c r="J51" s="132">
        <v>0</v>
      </c>
      <c r="K51" s="153">
        <v>26799.612000000001</v>
      </c>
      <c r="L51" s="180"/>
      <c r="M51" s="180">
        <f>((2*9343)+3730+1000)*1.09</f>
        <v>25523.440000000002</v>
      </c>
      <c r="N51" s="153"/>
      <c r="O51" s="215">
        <f>SUM(L51:N51)</f>
        <v>25523.440000000002</v>
      </c>
      <c r="P51" s="151" t="s">
        <v>458</v>
      </c>
      <c r="Q51" s="151">
        <v>0.53702928313499798</v>
      </c>
      <c r="R51" s="153">
        <f t="shared" si="6"/>
        <v>2.68514641567499</v>
      </c>
      <c r="S51" s="153" t="s">
        <v>496</v>
      </c>
      <c r="T51" s="187"/>
      <c r="U51" s="187"/>
      <c r="V51" s="190"/>
      <c r="W51" s="190"/>
      <c r="X51" s="190"/>
      <c r="Y51" s="190"/>
      <c r="Z51" s="190"/>
      <c r="AA51" s="190"/>
      <c r="AB51" s="190"/>
      <c r="AC51" s="190"/>
      <c r="AD51" s="190"/>
      <c r="AE51" s="190"/>
      <c r="AF51" s="190"/>
      <c r="AG51" s="191"/>
      <c r="AH51" s="101"/>
      <c r="AI51" s="101"/>
      <c r="AJ51" s="101"/>
      <c r="AK51" s="101"/>
      <c r="AL51" s="101"/>
      <c r="AM51" s="101"/>
      <c r="AN51" s="101"/>
    </row>
    <row r="52" spans="1:40" ht="30" hidden="1" customHeight="1">
      <c r="A52" s="124" t="s">
        <v>310</v>
      </c>
      <c r="B52" s="128">
        <v>5</v>
      </c>
      <c r="C52" s="139" t="s">
        <v>424</v>
      </c>
      <c r="D52" s="139" t="s">
        <v>468</v>
      </c>
      <c r="E52" s="127" t="s">
        <v>325</v>
      </c>
      <c r="F52" s="183" t="s">
        <v>469</v>
      </c>
      <c r="G52" s="219"/>
      <c r="H52" s="219"/>
      <c r="I52" s="132">
        <v>0</v>
      </c>
      <c r="J52" s="132">
        <v>0</v>
      </c>
      <c r="K52" s="153">
        <v>30529.537500000006</v>
      </c>
      <c r="L52" s="149"/>
      <c r="M52" s="108">
        <v>29075.750000000004</v>
      </c>
      <c r="N52" s="153"/>
      <c r="O52" s="215">
        <f>SUM(L52:N52)</f>
        <v>29075.750000000004</v>
      </c>
      <c r="P52" s="151" t="s">
        <v>458</v>
      </c>
      <c r="Q52" s="151">
        <v>1.4318818706087426</v>
      </c>
      <c r="R52" s="153">
        <f t="shared" si="6"/>
        <v>7.1594093530437135</v>
      </c>
      <c r="S52" s="153" t="s">
        <v>496</v>
      </c>
      <c r="T52" s="187"/>
      <c r="U52" s="187"/>
      <c r="V52" s="190"/>
      <c r="W52" s="190"/>
      <c r="X52" s="190"/>
      <c r="Y52" s="190"/>
      <c r="Z52" s="190"/>
      <c r="AA52" s="190"/>
      <c r="AB52" s="190"/>
      <c r="AC52" s="190"/>
      <c r="AD52" s="190"/>
      <c r="AE52" s="190"/>
      <c r="AF52" s="190"/>
      <c r="AG52" s="191"/>
      <c r="AH52" s="101"/>
      <c r="AI52" s="101"/>
      <c r="AJ52" s="101"/>
      <c r="AK52" s="101"/>
      <c r="AL52" s="101"/>
      <c r="AM52" s="101"/>
      <c r="AN52" s="101"/>
    </row>
    <row r="53" spans="1:40" ht="30" hidden="1" customHeight="1">
      <c r="A53" s="124" t="s">
        <v>311</v>
      </c>
      <c r="B53" s="148" t="s">
        <v>491</v>
      </c>
      <c r="C53" s="139" t="s">
        <v>490</v>
      </c>
      <c r="D53" s="139" t="s">
        <v>477</v>
      </c>
      <c r="E53" s="184" t="s">
        <v>324</v>
      </c>
      <c r="F53" s="183">
        <v>1</v>
      </c>
      <c r="G53" s="219"/>
      <c r="H53" s="219"/>
      <c r="I53" s="132">
        <v>0</v>
      </c>
      <c r="J53" s="132">
        <v>0</v>
      </c>
      <c r="K53" s="153">
        <v>5496.75</v>
      </c>
      <c r="L53" s="149"/>
      <c r="M53" s="108">
        <v>5235</v>
      </c>
      <c r="N53" s="153"/>
      <c r="O53" s="215">
        <f>SUM(L53:N53)</f>
        <v>5235</v>
      </c>
      <c r="P53" s="151" t="s">
        <v>458</v>
      </c>
      <c r="Q53" s="151">
        <v>0</v>
      </c>
      <c r="R53" s="153">
        <f t="shared" si="6"/>
        <v>0</v>
      </c>
      <c r="S53" s="153" t="s">
        <v>496</v>
      </c>
      <c r="T53" s="187"/>
      <c r="U53" s="187"/>
      <c r="V53" s="190"/>
      <c r="W53" s="190"/>
      <c r="X53" s="190"/>
      <c r="Y53" s="190"/>
      <c r="Z53" s="190"/>
      <c r="AA53" s="190"/>
      <c r="AB53" s="190"/>
      <c r="AC53" s="190"/>
      <c r="AD53" s="190"/>
      <c r="AE53" s="190"/>
      <c r="AF53" s="190"/>
      <c r="AG53" s="191"/>
      <c r="AH53" s="101"/>
      <c r="AI53" s="101"/>
      <c r="AJ53" s="101"/>
      <c r="AK53" s="101"/>
      <c r="AL53" s="101"/>
      <c r="AM53" s="101"/>
      <c r="AN53" s="101"/>
    </row>
    <row r="54" spans="1:40" ht="42.75" hidden="1" customHeight="1">
      <c r="A54" s="124" t="s">
        <v>312</v>
      </c>
      <c r="B54" s="128">
        <v>5</v>
      </c>
      <c r="C54" s="139" t="s">
        <v>427</v>
      </c>
      <c r="D54" s="130" t="s">
        <v>486</v>
      </c>
      <c r="E54" s="127" t="s">
        <v>325</v>
      </c>
      <c r="F54" s="127" t="s">
        <v>328</v>
      </c>
      <c r="G54" s="221"/>
      <c r="H54" s="221"/>
      <c r="I54" s="132">
        <v>0</v>
      </c>
      <c r="J54" s="132">
        <v>0</v>
      </c>
      <c r="K54" s="153">
        <v>39048.345000000001</v>
      </c>
      <c r="L54" s="153"/>
      <c r="M54" s="151">
        <f>(3*5235)+(9*2190)*1.09</f>
        <v>37188.9</v>
      </c>
      <c r="N54" s="153"/>
      <c r="O54" s="215">
        <f>SUM(L54:N54)</f>
        <v>37188.9</v>
      </c>
      <c r="P54" s="151" t="s">
        <v>458</v>
      </c>
      <c r="Q54" s="151">
        <v>676.3810361815066</v>
      </c>
      <c r="R54" s="153">
        <f t="shared" si="6"/>
        <v>3381.9051809075331</v>
      </c>
      <c r="S54" s="153" t="s">
        <v>496</v>
      </c>
      <c r="T54" s="187"/>
      <c r="U54" s="187"/>
      <c r="V54" s="190"/>
      <c r="W54" s="190"/>
      <c r="X54" s="190"/>
      <c r="Y54" s="190"/>
      <c r="Z54" s="190"/>
      <c r="AA54" s="190"/>
      <c r="AB54" s="190"/>
      <c r="AC54" s="190"/>
      <c r="AD54" s="190"/>
      <c r="AE54" s="190"/>
      <c r="AF54" s="190"/>
      <c r="AG54" s="191"/>
      <c r="AH54" s="101"/>
      <c r="AI54" s="101"/>
      <c r="AJ54" s="101"/>
      <c r="AK54" s="101"/>
      <c r="AL54" s="101"/>
      <c r="AM54" s="101"/>
      <c r="AN54" s="101"/>
    </row>
    <row r="55" spans="1:40" ht="28.5" hidden="1" customHeight="1">
      <c r="A55" s="124" t="s">
        <v>313</v>
      </c>
      <c r="B55" s="129">
        <v>2</v>
      </c>
      <c r="C55" s="139" t="s">
        <v>395</v>
      </c>
      <c r="D55" s="139" t="s">
        <v>472</v>
      </c>
      <c r="E55" s="126" t="s">
        <v>324</v>
      </c>
      <c r="F55" s="182">
        <v>3</v>
      </c>
      <c r="G55" s="219"/>
      <c r="H55" s="219"/>
      <c r="I55" s="132">
        <v>0</v>
      </c>
      <c r="J55" s="132">
        <v>0</v>
      </c>
      <c r="K55" s="153">
        <v>18580.9575</v>
      </c>
      <c r="L55" s="151"/>
      <c r="M55" s="151">
        <v>17696.150000000001</v>
      </c>
      <c r="N55" s="153"/>
      <c r="O55" s="215">
        <f>SUM(L55:N55)</f>
        <v>17696.150000000001</v>
      </c>
      <c r="P55" s="151" t="s">
        <v>458</v>
      </c>
      <c r="Q55" s="151">
        <v>127.63646794274699</v>
      </c>
      <c r="R55" s="153">
        <f t="shared" si="6"/>
        <v>638.1823397137349</v>
      </c>
      <c r="S55" s="153" t="s">
        <v>495</v>
      </c>
      <c r="T55" s="187"/>
      <c r="U55" s="187"/>
      <c r="V55" s="190"/>
      <c r="W55" s="190"/>
      <c r="X55" s="190"/>
      <c r="Y55" s="190"/>
      <c r="Z55" s="190"/>
      <c r="AA55" s="190"/>
      <c r="AB55" s="190"/>
      <c r="AC55" s="190"/>
      <c r="AD55" s="190"/>
      <c r="AE55" s="190"/>
      <c r="AF55" s="190"/>
      <c r="AG55" s="191"/>
      <c r="AH55" s="101"/>
      <c r="AI55" s="101"/>
      <c r="AJ55" s="101"/>
      <c r="AK55" s="101"/>
      <c r="AL55" s="101"/>
      <c r="AM55" s="101"/>
      <c r="AN55" s="101"/>
    </row>
    <row r="56" spans="1:40" ht="51.75" hidden="1" customHeight="1">
      <c r="A56" s="124" t="s">
        <v>314</v>
      </c>
      <c r="B56" s="128">
        <v>3</v>
      </c>
      <c r="C56" s="139" t="s">
        <v>398</v>
      </c>
      <c r="D56" s="131" t="s">
        <v>473</v>
      </c>
      <c r="E56" s="127" t="s">
        <v>325</v>
      </c>
      <c r="F56" s="183" t="s">
        <v>476</v>
      </c>
      <c r="G56" s="219"/>
      <c r="H56" s="219"/>
      <c r="I56" s="132">
        <v>0</v>
      </c>
      <c r="J56" s="132">
        <v>0</v>
      </c>
      <c r="K56" s="153">
        <v>28036.816500000004</v>
      </c>
      <c r="L56" s="153"/>
      <c r="M56" s="153">
        <f>((3*5235)+(2*4396))*1.09</f>
        <v>26701.730000000003</v>
      </c>
      <c r="N56" s="153"/>
      <c r="O56" s="215">
        <f>SUM(L56:N56)</f>
        <v>26701.730000000003</v>
      </c>
      <c r="P56" s="151" t="s">
        <v>458</v>
      </c>
      <c r="Q56" s="151">
        <v>76.589030288374616</v>
      </c>
      <c r="R56" s="153">
        <f t="shared" si="6"/>
        <v>382.94515144187307</v>
      </c>
      <c r="S56" s="153" t="s">
        <v>496</v>
      </c>
      <c r="T56" s="187"/>
      <c r="U56" s="187"/>
      <c r="V56" s="190"/>
      <c r="W56" s="190"/>
      <c r="X56" s="190"/>
      <c r="Y56" s="190"/>
      <c r="Z56" s="190"/>
      <c r="AA56" s="190"/>
      <c r="AB56" s="190"/>
      <c r="AC56" s="190"/>
      <c r="AD56" s="190"/>
      <c r="AE56" s="190"/>
      <c r="AF56" s="190"/>
      <c r="AG56" s="191"/>
      <c r="AH56" s="101"/>
      <c r="AI56" s="101"/>
      <c r="AJ56" s="101"/>
      <c r="AK56" s="101"/>
      <c r="AL56" s="101"/>
      <c r="AM56" s="101"/>
      <c r="AN56" s="101"/>
    </row>
    <row r="57" spans="1:40" s="218" customFormat="1" ht="70.5" customHeight="1">
      <c r="A57" s="225" t="s">
        <v>315</v>
      </c>
      <c r="B57" s="109">
        <v>3</v>
      </c>
      <c r="C57" s="259" t="s">
        <v>550</v>
      </c>
      <c r="D57" s="159" t="s">
        <v>535</v>
      </c>
      <c r="E57" s="220" t="s">
        <v>325</v>
      </c>
      <c r="F57" s="220" t="s">
        <v>536</v>
      </c>
      <c r="G57" s="237" t="s">
        <v>525</v>
      </c>
      <c r="H57" s="220" t="s">
        <v>507</v>
      </c>
      <c r="I57" s="229">
        <v>0</v>
      </c>
      <c r="J57" s="229">
        <v>0</v>
      </c>
      <c r="K57" s="262">
        <f t="shared" ref="K57" si="8">O57</f>
        <v>143544.734</v>
      </c>
      <c r="L57" s="215"/>
      <c r="M57" s="215"/>
      <c r="N57" s="238">
        <v>143544.734</v>
      </c>
      <c r="O57" s="262">
        <f>SUM(L57:N57)</f>
        <v>143544.734</v>
      </c>
      <c r="P57" s="215" t="s">
        <v>458</v>
      </c>
      <c r="Q57" s="215">
        <v>3.78</v>
      </c>
      <c r="R57" s="215">
        <f t="shared" ref="R57:R62" si="9">Q57*4</f>
        <v>15.12</v>
      </c>
      <c r="S57" s="215" t="s">
        <v>497</v>
      </c>
      <c r="T57" s="230"/>
      <c r="U57" s="230"/>
      <c r="V57" s="231"/>
      <c r="W57" s="231"/>
      <c r="X57" s="231"/>
      <c r="Y57" s="231"/>
      <c r="Z57" s="232"/>
      <c r="AA57" s="233"/>
      <c r="AB57" s="239"/>
      <c r="AC57" s="231"/>
      <c r="AD57" s="231"/>
      <c r="AE57" s="231"/>
      <c r="AF57" s="231"/>
      <c r="AG57" s="235"/>
      <c r="AH57" s="235"/>
      <c r="AI57" s="235"/>
      <c r="AJ57" s="235"/>
      <c r="AK57" s="235"/>
      <c r="AL57" s="235"/>
      <c r="AM57" s="235"/>
      <c r="AN57" s="235"/>
    </row>
    <row r="58" spans="1:40" ht="32.25" hidden="1" customHeight="1">
      <c r="A58" s="124" t="s">
        <v>318</v>
      </c>
      <c r="B58" s="129">
        <v>1</v>
      </c>
      <c r="C58" s="139" t="s">
        <v>393</v>
      </c>
      <c r="D58" s="139" t="s">
        <v>71</v>
      </c>
      <c r="E58" s="183" t="s">
        <v>324</v>
      </c>
      <c r="F58" s="183">
        <v>1</v>
      </c>
      <c r="G58" s="219"/>
      <c r="H58" s="219"/>
      <c r="I58" s="132">
        <v>0</v>
      </c>
      <c r="J58" s="132">
        <v>0</v>
      </c>
      <c r="K58" s="151">
        <v>192.3</v>
      </c>
      <c r="L58" s="151"/>
      <c r="M58" s="211"/>
      <c r="N58" s="211">
        <v>176.3</v>
      </c>
      <c r="O58" s="215">
        <f>SUM(L58:N58)</f>
        <v>176.3</v>
      </c>
      <c r="P58" s="151" t="s">
        <v>458</v>
      </c>
      <c r="Q58" s="151">
        <v>379.81761071601858</v>
      </c>
      <c r="R58" s="151">
        <f t="shared" si="9"/>
        <v>1519.2704428640743</v>
      </c>
      <c r="S58" s="153" t="s">
        <v>495</v>
      </c>
      <c r="T58" s="187"/>
      <c r="U58" s="187"/>
      <c r="V58" s="190"/>
      <c r="W58" s="190"/>
      <c r="X58" s="190"/>
      <c r="Y58" s="190"/>
      <c r="Z58" s="192"/>
      <c r="AA58" s="193"/>
      <c r="AB58" s="194"/>
      <c r="AC58" s="190"/>
      <c r="AD58" s="190"/>
      <c r="AE58" s="190"/>
      <c r="AF58" s="190"/>
      <c r="AG58" s="191"/>
      <c r="AH58" s="101"/>
      <c r="AI58" s="101"/>
      <c r="AJ58" s="101"/>
      <c r="AK58" s="101"/>
      <c r="AL58" s="101"/>
      <c r="AM58" s="101"/>
      <c r="AN58" s="101"/>
    </row>
    <row r="59" spans="1:40" s="15" customFormat="1" ht="46.5" hidden="1" customHeight="1">
      <c r="A59" s="124" t="s">
        <v>319</v>
      </c>
      <c r="B59" s="119">
        <v>4</v>
      </c>
      <c r="C59" s="139" t="s">
        <v>405</v>
      </c>
      <c r="D59" s="99" t="s">
        <v>129</v>
      </c>
      <c r="E59" s="118" t="s">
        <v>324</v>
      </c>
      <c r="F59" s="118">
        <v>2</v>
      </c>
      <c r="G59" s="221"/>
      <c r="H59" s="221"/>
      <c r="I59" s="113">
        <v>0</v>
      </c>
      <c r="J59" s="113">
        <v>0</v>
      </c>
      <c r="K59" s="153">
        <v>1851.7462101694916</v>
      </c>
      <c r="L59" s="153"/>
      <c r="M59" s="151"/>
      <c r="N59" s="153">
        <v>1768.0779061931642</v>
      </c>
      <c r="O59" s="215">
        <f>SUM(L59:N59)</f>
        <v>1768.0779061931642</v>
      </c>
      <c r="P59" s="151" t="s">
        <v>458</v>
      </c>
      <c r="Q59" s="151">
        <v>326.81537159212758</v>
      </c>
      <c r="R59" s="151">
        <f t="shared" si="9"/>
        <v>1307.2614863685103</v>
      </c>
      <c r="S59" s="151" t="s">
        <v>496</v>
      </c>
      <c r="T59" s="187"/>
      <c r="U59" s="187"/>
      <c r="V59" s="190"/>
      <c r="W59" s="190"/>
      <c r="X59" s="190"/>
      <c r="Y59" s="190"/>
      <c r="Z59" s="192"/>
      <c r="AA59" s="321"/>
      <c r="AB59" s="194"/>
      <c r="AC59" s="190"/>
      <c r="AD59" s="190"/>
      <c r="AE59" s="190"/>
      <c r="AF59" s="190"/>
      <c r="AG59" s="191"/>
      <c r="AH59" s="101"/>
      <c r="AI59" s="101"/>
      <c r="AJ59" s="101"/>
      <c r="AK59" s="101"/>
      <c r="AL59" s="101"/>
      <c r="AM59" s="101"/>
      <c r="AN59" s="101"/>
    </row>
    <row r="60" spans="1:40" ht="30" hidden="1" customHeight="1">
      <c r="A60" s="124" t="s">
        <v>320</v>
      </c>
      <c r="B60" s="148">
        <v>1</v>
      </c>
      <c r="C60" s="139" t="s">
        <v>436</v>
      </c>
      <c r="D60" s="139" t="s">
        <v>71</v>
      </c>
      <c r="E60" s="143" t="s">
        <v>342</v>
      </c>
      <c r="F60" s="143">
        <v>1</v>
      </c>
      <c r="G60" s="221"/>
      <c r="H60" s="221"/>
      <c r="I60" s="113">
        <v>0</v>
      </c>
      <c r="J60" s="113">
        <v>0</v>
      </c>
      <c r="K60" s="153">
        <v>192.3</v>
      </c>
      <c r="L60" s="153"/>
      <c r="M60" s="211"/>
      <c r="N60" s="211">
        <v>176.3</v>
      </c>
      <c r="O60" s="215">
        <f>SUM(L60:N60)</f>
        <v>176.3</v>
      </c>
      <c r="P60" s="151" t="s">
        <v>458</v>
      </c>
      <c r="Q60" s="151">
        <v>227.37474195169477</v>
      </c>
      <c r="R60" s="151">
        <f t="shared" si="9"/>
        <v>909.49896780677909</v>
      </c>
      <c r="S60" s="153" t="s">
        <v>495</v>
      </c>
      <c r="T60" s="187"/>
      <c r="U60" s="187"/>
      <c r="V60" s="190"/>
      <c r="W60" s="190"/>
      <c r="X60" s="190"/>
      <c r="Y60" s="190"/>
      <c r="Z60" s="192"/>
      <c r="AA60" s="321"/>
      <c r="AB60" s="194"/>
      <c r="AC60" s="190"/>
      <c r="AD60" s="190"/>
      <c r="AE60" s="190"/>
      <c r="AF60" s="190"/>
      <c r="AG60" s="191"/>
      <c r="AH60" s="101"/>
      <c r="AI60" s="101"/>
      <c r="AJ60" s="101"/>
      <c r="AK60" s="101"/>
      <c r="AL60" s="101"/>
      <c r="AM60" s="101"/>
      <c r="AN60" s="101"/>
    </row>
    <row r="61" spans="1:40" s="15" customFormat="1" ht="45" hidden="1" customHeight="1">
      <c r="A61" s="124" t="s">
        <v>321</v>
      </c>
      <c r="B61" s="119">
        <v>4</v>
      </c>
      <c r="C61" s="139" t="s">
        <v>406</v>
      </c>
      <c r="D61" s="99" t="s">
        <v>130</v>
      </c>
      <c r="E61" s="118" t="s">
        <v>324</v>
      </c>
      <c r="F61" s="118">
        <v>1</v>
      </c>
      <c r="G61" s="221"/>
      <c r="H61" s="221"/>
      <c r="I61" s="113">
        <v>0</v>
      </c>
      <c r="J61" s="113">
        <v>0</v>
      </c>
      <c r="K61" s="153">
        <v>1851.7462101694916</v>
      </c>
      <c r="L61" s="153"/>
      <c r="M61" s="151"/>
      <c r="N61" s="153">
        <v>1768.0779061931642</v>
      </c>
      <c r="O61" s="215">
        <f>SUM(L61:N61)</f>
        <v>1768.0779061931642</v>
      </c>
      <c r="P61" s="151" t="s">
        <v>458</v>
      </c>
      <c r="Q61" s="151">
        <v>10.024546618519961</v>
      </c>
      <c r="R61" s="151">
        <f t="shared" si="9"/>
        <v>40.098186474079846</v>
      </c>
      <c r="S61" s="151" t="s">
        <v>496</v>
      </c>
      <c r="T61" s="187"/>
      <c r="U61" s="187"/>
      <c r="V61" s="190"/>
      <c r="W61" s="190"/>
      <c r="X61" s="190"/>
      <c r="Y61" s="190"/>
      <c r="Z61" s="190"/>
      <c r="AA61" s="190"/>
      <c r="AB61" s="190"/>
      <c r="AC61" s="190"/>
      <c r="AD61" s="190"/>
      <c r="AE61" s="190"/>
      <c r="AF61" s="190"/>
      <c r="AG61" s="191"/>
      <c r="AH61" s="101"/>
      <c r="AI61" s="101"/>
      <c r="AJ61" s="101"/>
      <c r="AK61" s="101"/>
      <c r="AL61" s="101"/>
      <c r="AM61" s="101"/>
      <c r="AN61" s="101"/>
    </row>
    <row r="62" spans="1:40" ht="43.5" hidden="1" customHeight="1">
      <c r="A62" s="124" t="s">
        <v>322</v>
      </c>
      <c r="B62" s="128">
        <v>3</v>
      </c>
      <c r="C62" s="139" t="s">
        <v>401</v>
      </c>
      <c r="D62" s="130" t="s">
        <v>400</v>
      </c>
      <c r="E62" s="127" t="s">
        <v>324</v>
      </c>
      <c r="F62" s="127">
        <v>2</v>
      </c>
      <c r="G62" s="221"/>
      <c r="H62" s="221"/>
      <c r="I62" s="132">
        <v>0</v>
      </c>
      <c r="J62" s="132">
        <v>0</v>
      </c>
      <c r="K62" s="153">
        <v>1851.7462101694916</v>
      </c>
      <c r="L62" s="149"/>
      <c r="M62" s="151"/>
      <c r="N62" s="151">
        <v>1768.0779061931642</v>
      </c>
      <c r="O62" s="215">
        <f>SUM(L62:N62)</f>
        <v>1768.0779061931642</v>
      </c>
      <c r="P62" s="151" t="s">
        <v>458</v>
      </c>
      <c r="Q62" s="151">
        <v>37.566446728087492</v>
      </c>
      <c r="R62" s="151">
        <f t="shared" si="9"/>
        <v>150.26578691234997</v>
      </c>
      <c r="S62" s="151" t="s">
        <v>496</v>
      </c>
      <c r="T62" s="187"/>
      <c r="U62" s="187"/>
      <c r="V62" s="190"/>
      <c r="W62" s="190"/>
      <c r="X62" s="190"/>
      <c r="Y62" s="190"/>
      <c r="Z62" s="190"/>
      <c r="AA62" s="190"/>
      <c r="AB62" s="190"/>
      <c r="AC62" s="190"/>
      <c r="AD62" s="190"/>
      <c r="AE62" s="190"/>
      <c r="AF62" s="190"/>
      <c r="AG62" s="191"/>
      <c r="AH62" s="101"/>
      <c r="AI62" s="101"/>
      <c r="AJ62" s="101"/>
      <c r="AK62" s="101"/>
      <c r="AL62" s="101"/>
      <c r="AM62" s="101"/>
      <c r="AN62" s="101"/>
    </row>
    <row r="63" spans="1:40" ht="46.5" hidden="1" customHeight="1">
      <c r="A63" s="124" t="s">
        <v>483</v>
      </c>
      <c r="B63" s="148">
        <v>4</v>
      </c>
      <c r="C63" s="139" t="s">
        <v>470</v>
      </c>
      <c r="D63" s="131" t="s">
        <v>471</v>
      </c>
      <c r="E63" s="177" t="s">
        <v>324</v>
      </c>
      <c r="F63" s="177">
        <v>1</v>
      </c>
      <c r="G63" s="221"/>
      <c r="H63" s="221"/>
      <c r="I63" s="132">
        <v>0</v>
      </c>
      <c r="J63" s="132">
        <v>0</v>
      </c>
      <c r="K63" s="153">
        <v>5969</v>
      </c>
      <c r="L63" s="149"/>
      <c r="M63" s="108"/>
      <c r="N63" s="153"/>
      <c r="O63" s="215">
        <f>SUM(L63:N63)</f>
        <v>0</v>
      </c>
      <c r="P63" s="151" t="s">
        <v>458</v>
      </c>
      <c r="Q63" s="200">
        <v>91.640500000000003</v>
      </c>
      <c r="R63" s="108">
        <f t="shared" ref="R63" si="10">Q63</f>
        <v>91.640500000000003</v>
      </c>
      <c r="S63" s="153" t="s">
        <v>495</v>
      </c>
      <c r="T63" s="187"/>
      <c r="U63" s="187"/>
      <c r="V63" s="190"/>
      <c r="W63" s="190"/>
      <c r="X63" s="190"/>
      <c r="Y63" s="190"/>
      <c r="Z63" s="190"/>
      <c r="AA63" s="190"/>
      <c r="AB63" s="190"/>
      <c r="AC63" s="190"/>
      <c r="AD63" s="190"/>
      <c r="AE63" s="190"/>
      <c r="AF63" s="190"/>
      <c r="AG63" s="191"/>
      <c r="AH63" s="101"/>
      <c r="AI63" s="101"/>
      <c r="AJ63" s="101"/>
      <c r="AK63" s="101"/>
      <c r="AL63" s="101"/>
      <c r="AM63" s="101"/>
      <c r="AN63" s="101"/>
    </row>
    <row r="64" spans="1:40" ht="28.5" hidden="1" customHeight="1">
      <c r="A64" s="124" t="s">
        <v>484</v>
      </c>
      <c r="B64" s="128">
        <v>2</v>
      </c>
      <c r="C64" s="139" t="s">
        <v>479</v>
      </c>
      <c r="D64" s="139" t="s">
        <v>480</v>
      </c>
      <c r="E64" s="127" t="s">
        <v>324</v>
      </c>
      <c r="F64" s="127">
        <v>2</v>
      </c>
      <c r="G64" s="221"/>
      <c r="H64" s="221"/>
      <c r="I64" s="132">
        <v>0</v>
      </c>
      <c r="J64" s="132">
        <v>0</v>
      </c>
      <c r="K64" s="153">
        <v>15766.632000000001</v>
      </c>
      <c r="L64" s="149"/>
      <c r="M64" s="108"/>
      <c r="N64" s="153"/>
      <c r="O64" s="215">
        <f>SUM(L64:N64)</f>
        <v>0</v>
      </c>
      <c r="P64" s="151" t="s">
        <v>458</v>
      </c>
      <c r="Q64" s="151">
        <v>7.7255021856099599</v>
      </c>
      <c r="R64" s="151"/>
      <c r="S64" s="153" t="s">
        <v>495</v>
      </c>
      <c r="T64" s="187"/>
      <c r="U64" s="187"/>
      <c r="V64" s="190"/>
      <c r="W64" s="190"/>
      <c r="X64" s="190"/>
      <c r="Y64" s="190"/>
      <c r="Z64" s="190"/>
      <c r="AA64" s="190"/>
      <c r="AB64" s="190"/>
      <c r="AC64" s="190"/>
      <c r="AD64" s="190"/>
      <c r="AE64" s="190"/>
      <c r="AF64" s="190"/>
      <c r="AG64" s="191"/>
      <c r="AH64" s="101"/>
      <c r="AI64" s="101"/>
      <c r="AJ64" s="101"/>
      <c r="AK64" s="101"/>
      <c r="AL64" s="101"/>
      <c r="AM64" s="101"/>
      <c r="AN64" s="101"/>
    </row>
    <row r="65" spans="1:40" ht="32.25" hidden="1" customHeight="1">
      <c r="A65" s="124" t="s">
        <v>485</v>
      </c>
      <c r="B65" s="148">
        <v>1</v>
      </c>
      <c r="C65" s="139" t="s">
        <v>391</v>
      </c>
      <c r="D65" s="139" t="s">
        <v>360</v>
      </c>
      <c r="E65" s="143" t="s">
        <v>324</v>
      </c>
      <c r="F65" s="143">
        <v>1</v>
      </c>
      <c r="G65" s="221"/>
      <c r="H65" s="221"/>
      <c r="I65" s="132">
        <v>0</v>
      </c>
      <c r="J65" s="132">
        <v>0</v>
      </c>
      <c r="K65" s="153">
        <v>6206.1111522982555</v>
      </c>
      <c r="L65" s="149"/>
      <c r="M65" s="108"/>
      <c r="N65" s="153"/>
      <c r="O65" s="215">
        <f>SUM(L65:N65)</f>
        <v>0</v>
      </c>
      <c r="P65" s="151" t="s">
        <v>458</v>
      </c>
      <c r="Q65" s="151">
        <v>70.595106178849647</v>
      </c>
      <c r="R65" s="151"/>
      <c r="S65" s="151" t="s">
        <v>496</v>
      </c>
      <c r="T65" s="187"/>
      <c r="U65" s="187"/>
      <c r="V65" s="190"/>
      <c r="W65" s="190"/>
      <c r="X65" s="190"/>
      <c r="Y65" s="190"/>
      <c r="Z65" s="190"/>
      <c r="AA65" s="190"/>
      <c r="AB65" s="190"/>
      <c r="AC65" s="190"/>
      <c r="AD65" s="190"/>
      <c r="AE65" s="190"/>
      <c r="AF65" s="190"/>
      <c r="AG65" s="191"/>
      <c r="AH65" s="101"/>
      <c r="AI65" s="101"/>
      <c r="AJ65" s="101"/>
      <c r="AK65" s="101"/>
      <c r="AL65" s="101"/>
      <c r="AM65" s="101"/>
      <c r="AN65" s="101"/>
    </row>
    <row r="66" spans="1:40" s="95" customFormat="1" ht="32.25" customHeight="1">
      <c r="A66" s="296" t="s">
        <v>343</v>
      </c>
      <c r="B66" s="297"/>
      <c r="C66" s="298"/>
      <c r="D66" s="117"/>
      <c r="E66" s="117"/>
      <c r="F66" s="117"/>
      <c r="G66" s="223"/>
      <c r="H66" s="223"/>
      <c r="I66" s="117"/>
      <c r="J66" s="117"/>
      <c r="K66" s="155">
        <f t="shared" ref="K66:O66" si="11">SUBTOTAL(9,K20:K65)</f>
        <v>1796718.479918123</v>
      </c>
      <c r="L66" s="263">
        <f t="shared" si="11"/>
        <v>333632.12938819721</v>
      </c>
      <c r="M66" s="263">
        <f t="shared" si="11"/>
        <v>936788.04624358227</v>
      </c>
      <c r="N66" s="263">
        <f t="shared" si="11"/>
        <v>526298.30428634328</v>
      </c>
      <c r="O66" s="263">
        <f t="shared" si="11"/>
        <v>1796718.479918123</v>
      </c>
      <c r="P66" s="242"/>
      <c r="Q66" s="242">
        <f>SUBTOTAL(9,Q20:Q63)</f>
        <v>14188.716378144783</v>
      </c>
      <c r="R66" s="242">
        <f>SUBTOTAL(9,R20:R63)</f>
        <v>75410.493524449019</v>
      </c>
      <c r="S66" s="242" t="s">
        <v>497</v>
      </c>
      <c r="T66" s="189"/>
      <c r="U66" s="189"/>
      <c r="V66" s="189"/>
      <c r="W66" s="189"/>
      <c r="X66" s="189"/>
      <c r="Y66" s="189"/>
      <c r="Z66" s="189"/>
      <c r="AA66" s="189"/>
      <c r="AB66" s="189"/>
      <c r="AC66" s="189"/>
      <c r="AD66" s="189"/>
      <c r="AE66" s="189"/>
      <c r="AF66" s="189"/>
      <c r="AG66" s="198"/>
      <c r="AH66" s="198"/>
      <c r="AI66" s="198"/>
      <c r="AJ66" s="198"/>
      <c r="AK66" s="198"/>
      <c r="AL66" s="198"/>
      <c r="AM66" s="198"/>
      <c r="AN66" s="198"/>
    </row>
    <row r="67" spans="1:40" ht="15" hidden="1" customHeight="1">
      <c r="A67" s="296" t="s">
        <v>352</v>
      </c>
      <c r="B67" s="297"/>
      <c r="C67" s="298"/>
      <c r="D67" s="145"/>
      <c r="E67" s="147"/>
      <c r="F67" s="147"/>
      <c r="G67" s="223"/>
      <c r="H67" s="223"/>
      <c r="I67" s="147"/>
      <c r="J67" s="147"/>
      <c r="K67" s="147" t="e">
        <f t="shared" ref="K67:O67" si="12">K16+K28</f>
        <v>#REF!</v>
      </c>
      <c r="L67" s="185" t="e">
        <f t="shared" si="12"/>
        <v>#REF!</v>
      </c>
      <c r="M67" s="185" t="e">
        <f t="shared" si="12"/>
        <v>#REF!</v>
      </c>
      <c r="N67" s="185" t="e">
        <f t="shared" si="12"/>
        <v>#REF!</v>
      </c>
      <c r="O67" s="185" t="e">
        <f t="shared" si="12"/>
        <v>#REF!</v>
      </c>
      <c r="P67" s="185"/>
      <c r="Q67" s="185" t="e">
        <f>Q16+Q28</f>
        <v>#REF!</v>
      </c>
      <c r="R67" s="185" t="e">
        <f>R16+R28</f>
        <v>#REF!</v>
      </c>
      <c r="S67" s="213" t="s">
        <v>347</v>
      </c>
      <c r="T67" s="188"/>
      <c r="U67" s="188"/>
      <c r="V67" s="197"/>
      <c r="W67" s="197"/>
      <c r="X67" s="197"/>
      <c r="Y67" s="197"/>
      <c r="Z67" s="197"/>
      <c r="AA67" s="197"/>
      <c r="AB67" s="197"/>
      <c r="AC67" s="197"/>
      <c r="AD67" s="197"/>
      <c r="AE67" s="197"/>
      <c r="AF67" s="197"/>
      <c r="AG67" s="101"/>
      <c r="AH67" s="101"/>
      <c r="AI67" s="101"/>
      <c r="AJ67" s="101"/>
      <c r="AK67" s="101"/>
      <c r="AL67" s="101"/>
      <c r="AM67" s="101"/>
      <c r="AN67" s="101"/>
    </row>
    <row r="68" spans="1:40" s="15" customFormat="1" ht="15" hidden="1" customHeight="1">
      <c r="A68" s="296" t="s">
        <v>353</v>
      </c>
      <c r="B68" s="297"/>
      <c r="C68" s="298"/>
      <c r="D68" s="117"/>
      <c r="E68" s="117"/>
      <c r="F68" s="117"/>
      <c r="G68" s="223"/>
      <c r="H68" s="223"/>
      <c r="I68" s="117"/>
      <c r="J68" s="117"/>
      <c r="K68" s="117" t="e">
        <f t="shared" ref="K68:O68" si="13">K29+K19</f>
        <v>#REF!</v>
      </c>
      <c r="L68" s="185" t="e">
        <f t="shared" si="13"/>
        <v>#REF!</v>
      </c>
      <c r="M68" s="185" t="e">
        <f t="shared" si="13"/>
        <v>#REF!</v>
      </c>
      <c r="N68" s="185" t="e">
        <f t="shared" si="13"/>
        <v>#REF!</v>
      </c>
      <c r="O68" s="185" t="e">
        <f t="shared" si="13"/>
        <v>#REF!</v>
      </c>
      <c r="P68" s="185"/>
      <c r="Q68" s="185" t="e">
        <f>Q29+Q19</f>
        <v>#REF!</v>
      </c>
      <c r="R68" s="185" t="e">
        <f>R29+R19</f>
        <v>#REF!</v>
      </c>
      <c r="S68" s="213" t="s">
        <v>346</v>
      </c>
      <c r="T68" s="188"/>
      <c r="U68" s="188"/>
      <c r="V68" s="197"/>
      <c r="W68" s="197"/>
      <c r="X68" s="197"/>
      <c r="Y68" s="197"/>
      <c r="Z68" s="197"/>
      <c r="AA68" s="197"/>
      <c r="AB68" s="197"/>
      <c r="AC68" s="197"/>
      <c r="AD68" s="197"/>
      <c r="AE68" s="197"/>
      <c r="AF68" s="197"/>
      <c r="AG68" s="101"/>
      <c r="AH68" s="101"/>
      <c r="AI68" s="101"/>
      <c r="AJ68" s="101"/>
      <c r="AK68" s="101"/>
      <c r="AL68" s="101"/>
      <c r="AM68" s="101"/>
      <c r="AN68" s="101"/>
    </row>
    <row r="69" spans="1:40" s="15" customFormat="1" ht="11.25" hidden="1" customHeight="1">
      <c r="A69" s="296" t="s">
        <v>354</v>
      </c>
      <c r="B69" s="297"/>
      <c r="C69" s="298"/>
      <c r="D69" s="117"/>
      <c r="E69" s="117"/>
      <c r="F69" s="117"/>
      <c r="G69" s="223"/>
      <c r="H69" s="223"/>
      <c r="I69" s="117"/>
      <c r="J69" s="117"/>
      <c r="K69" s="117" t="e">
        <f t="shared" ref="K69:O69" si="14">K17+K30</f>
        <v>#REF!</v>
      </c>
      <c r="L69" s="185" t="e">
        <f t="shared" si="14"/>
        <v>#REF!</v>
      </c>
      <c r="M69" s="185" t="e">
        <f t="shared" si="14"/>
        <v>#REF!</v>
      </c>
      <c r="N69" s="185" t="e">
        <f t="shared" si="14"/>
        <v>#REF!</v>
      </c>
      <c r="O69" s="185" t="e">
        <f t="shared" si="14"/>
        <v>#REF!</v>
      </c>
      <c r="P69" s="185"/>
      <c r="Q69" s="185" t="e">
        <f>Q17+Q30</f>
        <v>#REF!</v>
      </c>
      <c r="R69" s="185" t="e">
        <f>R17+R30</f>
        <v>#REF!</v>
      </c>
      <c r="S69" s="213" t="s">
        <v>349</v>
      </c>
      <c r="T69" s="188"/>
      <c r="U69" s="188"/>
      <c r="V69" s="197"/>
      <c r="W69" s="197"/>
      <c r="X69" s="197"/>
      <c r="Y69" s="197"/>
      <c r="Z69" s="197"/>
      <c r="AA69" s="197"/>
      <c r="AB69" s="197"/>
      <c r="AC69" s="197"/>
      <c r="AD69" s="197"/>
      <c r="AE69" s="197"/>
      <c r="AF69" s="197"/>
      <c r="AG69" s="101"/>
      <c r="AH69" s="101"/>
      <c r="AI69" s="101"/>
      <c r="AJ69" s="101"/>
      <c r="AK69" s="101"/>
      <c r="AL69" s="101"/>
      <c r="AM69" s="101"/>
      <c r="AN69" s="101"/>
    </row>
    <row r="70" spans="1:40" s="15" customFormat="1" ht="24.75" hidden="1" customHeight="1">
      <c r="A70" s="296" t="s">
        <v>355</v>
      </c>
      <c r="B70" s="297"/>
      <c r="C70" s="298"/>
      <c r="D70" s="117"/>
      <c r="E70" s="117"/>
      <c r="F70" s="117"/>
      <c r="G70" s="223"/>
      <c r="H70" s="223"/>
      <c r="I70" s="117"/>
      <c r="J70" s="117"/>
      <c r="K70" s="117" t="e">
        <f t="shared" ref="K70:O70" si="15">K31</f>
        <v>#REF!</v>
      </c>
      <c r="L70" s="185" t="e">
        <f t="shared" si="15"/>
        <v>#REF!</v>
      </c>
      <c r="M70" s="185" t="e">
        <f t="shared" si="15"/>
        <v>#REF!</v>
      </c>
      <c r="N70" s="185" t="e">
        <f t="shared" si="15"/>
        <v>#REF!</v>
      </c>
      <c r="O70" s="185" t="e">
        <f t="shared" si="15"/>
        <v>#REF!</v>
      </c>
      <c r="P70" s="185"/>
      <c r="Q70" s="185" t="e">
        <f>Q31</f>
        <v>#REF!</v>
      </c>
      <c r="R70" s="185" t="e">
        <f>R31</f>
        <v>#REF!</v>
      </c>
      <c r="S70" s="213" t="s">
        <v>350</v>
      </c>
      <c r="T70" s="188"/>
      <c r="U70" s="188"/>
      <c r="V70" s="197"/>
      <c r="W70" s="197"/>
      <c r="X70" s="197"/>
      <c r="Y70" s="197"/>
      <c r="Z70" s="197"/>
      <c r="AA70" s="197"/>
      <c r="AB70" s="197"/>
      <c r="AC70" s="197"/>
      <c r="AD70" s="197"/>
      <c r="AE70" s="197"/>
      <c r="AF70" s="197"/>
      <c r="AG70" s="101"/>
      <c r="AH70" s="101"/>
      <c r="AI70" s="101"/>
      <c r="AJ70" s="101"/>
      <c r="AK70" s="101"/>
      <c r="AL70" s="101"/>
      <c r="AM70" s="101"/>
      <c r="AN70" s="101"/>
    </row>
    <row r="71" spans="1:40" s="15" customFormat="1" ht="15" hidden="1" customHeight="1">
      <c r="A71" s="296" t="s">
        <v>356</v>
      </c>
      <c r="B71" s="297"/>
      <c r="C71" s="298"/>
      <c r="D71" s="117"/>
      <c r="E71" s="117"/>
      <c r="F71" s="117"/>
      <c r="G71" s="223"/>
      <c r="H71" s="223"/>
      <c r="I71" s="117"/>
      <c r="J71" s="117"/>
      <c r="K71" s="117" t="e">
        <f t="shared" ref="K71:O71" si="16">K32</f>
        <v>#REF!</v>
      </c>
      <c r="L71" s="185" t="e">
        <f t="shared" si="16"/>
        <v>#REF!</v>
      </c>
      <c r="M71" s="185" t="e">
        <f t="shared" si="16"/>
        <v>#REF!</v>
      </c>
      <c r="N71" s="185" t="e">
        <f t="shared" si="16"/>
        <v>#REF!</v>
      </c>
      <c r="O71" s="185" t="e">
        <f t="shared" si="16"/>
        <v>#REF!</v>
      </c>
      <c r="P71" s="185"/>
      <c r="Q71" s="185" t="e">
        <f>Q32</f>
        <v>#REF!</v>
      </c>
      <c r="R71" s="185" t="e">
        <f>R32</f>
        <v>#REF!</v>
      </c>
      <c r="S71" s="213" t="s">
        <v>351</v>
      </c>
      <c r="T71" s="188"/>
      <c r="U71" s="188"/>
      <c r="V71" s="188"/>
      <c r="W71" s="188"/>
      <c r="X71" s="188"/>
      <c r="Y71" s="188"/>
      <c r="Z71" s="188"/>
      <c r="AA71" s="188"/>
      <c r="AB71" s="188"/>
      <c r="AC71" s="188"/>
      <c r="AD71" s="188"/>
      <c r="AE71" s="188"/>
      <c r="AF71" s="188"/>
    </row>
    <row r="72" spans="1:40" s="15" customFormat="1" ht="9.75" hidden="1" customHeight="1">
      <c r="A72" s="296" t="s">
        <v>357</v>
      </c>
      <c r="B72" s="297"/>
      <c r="C72" s="298"/>
      <c r="D72" s="117"/>
      <c r="E72" s="117"/>
      <c r="F72" s="117"/>
      <c r="G72" s="223"/>
      <c r="H72" s="223"/>
      <c r="I72" s="117"/>
      <c r="J72" s="117"/>
      <c r="K72" s="117" t="e">
        <f t="shared" ref="K72:O72" si="17">K18+K33</f>
        <v>#REF!</v>
      </c>
      <c r="L72" s="185" t="e">
        <f t="shared" si="17"/>
        <v>#REF!</v>
      </c>
      <c r="M72" s="185" t="e">
        <f t="shared" si="17"/>
        <v>#REF!</v>
      </c>
      <c r="N72" s="185" t="e">
        <f t="shared" si="17"/>
        <v>#REF!</v>
      </c>
      <c r="O72" s="185" t="e">
        <f t="shared" si="17"/>
        <v>#REF!</v>
      </c>
      <c r="P72" s="185"/>
      <c r="Q72" s="185" t="e">
        <f>Q18+Q33</f>
        <v>#REF!</v>
      </c>
      <c r="R72" s="185" t="e">
        <f>R18+R33</f>
        <v>#REF!</v>
      </c>
      <c r="S72" s="213" t="s">
        <v>348</v>
      </c>
      <c r="T72" s="188"/>
      <c r="U72" s="188"/>
      <c r="V72" s="188"/>
      <c r="W72" s="188"/>
      <c r="X72" s="188"/>
      <c r="Y72" s="188"/>
      <c r="Z72" s="188"/>
      <c r="AA72" s="188"/>
      <c r="AB72" s="188"/>
      <c r="AC72" s="188"/>
      <c r="AD72" s="188"/>
      <c r="AE72" s="188"/>
      <c r="AF72" s="188"/>
    </row>
    <row r="73" spans="1:40" ht="11.25" customHeight="1">
      <c r="D73" s="295"/>
      <c r="E73" s="337"/>
      <c r="F73" s="337"/>
      <c r="G73" s="337"/>
      <c r="H73" s="337"/>
      <c r="I73" s="337"/>
      <c r="J73" s="337"/>
      <c r="R73" s="125"/>
      <c r="S73" s="125"/>
      <c r="T73" s="188"/>
      <c r="U73" s="188"/>
      <c r="V73" s="188"/>
      <c r="W73" s="188"/>
      <c r="X73" s="188"/>
      <c r="Y73" s="188"/>
      <c r="Z73" s="188"/>
      <c r="AA73" s="188"/>
      <c r="AB73" s="188"/>
      <c r="AC73" s="188"/>
      <c r="AD73" s="188"/>
      <c r="AE73" s="188"/>
      <c r="AF73" s="188"/>
    </row>
    <row r="74" spans="1:40" s="254" customFormat="1" ht="18.75">
      <c r="A74" s="250"/>
      <c r="B74" s="251"/>
      <c r="C74" s="254" t="s">
        <v>554</v>
      </c>
      <c r="D74" s="253"/>
      <c r="E74" s="253"/>
      <c r="F74" s="252"/>
      <c r="G74" s="254" t="s">
        <v>555</v>
      </c>
      <c r="H74" s="252"/>
      <c r="I74" s="252"/>
      <c r="J74" s="252"/>
      <c r="K74" s="255"/>
      <c r="L74" s="256"/>
      <c r="M74" s="256"/>
      <c r="N74" s="256"/>
      <c r="O74" s="255"/>
      <c r="Q74" s="256"/>
      <c r="R74" s="125"/>
      <c r="S74" s="125"/>
    </row>
    <row r="75" spans="1:40" ht="11.25" customHeight="1"/>
    <row r="76" spans="1:40" ht="15.75" customHeight="1">
      <c r="C76" s="254" t="s">
        <v>556</v>
      </c>
      <c r="G76" s="254" t="s">
        <v>557</v>
      </c>
    </row>
    <row r="77" spans="1:40" ht="11.25" customHeight="1"/>
    <row r="78" spans="1:40" ht="11.25" customHeight="1">
      <c r="A78" s="125"/>
      <c r="C78" s="125"/>
      <c r="D78" s="125"/>
      <c r="E78" s="125"/>
      <c r="F78" s="125"/>
      <c r="G78" s="125"/>
      <c r="H78" s="125"/>
      <c r="I78" s="125"/>
      <c r="J78" s="125"/>
      <c r="K78" s="125"/>
      <c r="L78" s="125"/>
      <c r="M78" s="125"/>
      <c r="N78" s="125"/>
      <c r="Q78" s="125"/>
      <c r="R78" s="125"/>
      <c r="S78" s="125"/>
    </row>
    <row r="80" spans="1:40">
      <c r="M80" s="156"/>
      <c r="O80" s="156"/>
    </row>
  </sheetData>
  <autoFilter ref="A12:S72">
    <filterColumn colId="18">
      <filters>
        <filter val="Объекты энергетики"/>
      </filters>
    </filterColumn>
  </autoFilter>
  <mergeCells count="41">
    <mergeCell ref="S9:S11"/>
    <mergeCell ref="A8:O8"/>
    <mergeCell ref="P8:R8"/>
    <mergeCell ref="G9:G11"/>
    <mergeCell ref="H9:H11"/>
    <mergeCell ref="O9:O10"/>
    <mergeCell ref="D73:J73"/>
    <mergeCell ref="A67:C67"/>
    <mergeCell ref="A68:C68"/>
    <mergeCell ref="A69:C69"/>
    <mergeCell ref="A70:C70"/>
    <mergeCell ref="A71:C71"/>
    <mergeCell ref="A72:C72"/>
    <mergeCell ref="A14:C14"/>
    <mergeCell ref="A66:C66"/>
    <mergeCell ref="A16:C16"/>
    <mergeCell ref="A17:C17"/>
    <mergeCell ref="A18:C18"/>
    <mergeCell ref="A29:C29"/>
    <mergeCell ref="A30:C30"/>
    <mergeCell ref="A33:C33"/>
    <mergeCell ref="A19:C19"/>
    <mergeCell ref="A26:C26"/>
    <mergeCell ref="A27:C27"/>
    <mergeCell ref="A28:C28"/>
    <mergeCell ref="AA59:AA60"/>
    <mergeCell ref="A15:C15"/>
    <mergeCell ref="A9:A11"/>
    <mergeCell ref="B9:B11"/>
    <mergeCell ref="C9:C11"/>
    <mergeCell ref="D9:D11"/>
    <mergeCell ref="E9:F10"/>
    <mergeCell ref="I9:I11"/>
    <mergeCell ref="J9:J11"/>
    <mergeCell ref="K9:K11"/>
    <mergeCell ref="P9:P11"/>
    <mergeCell ref="Q9:Q11"/>
    <mergeCell ref="R9:R11"/>
    <mergeCell ref="A31:C31"/>
    <mergeCell ref="A32:C32"/>
    <mergeCell ref="A13:C13"/>
  </mergeCells>
  <pageMargins left="0.25" right="0.25" top="0.75" bottom="0.75" header="0.3" footer="0.3"/>
  <pageSetup paperSize="9" scale="3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"/>
  <sheetViews>
    <sheetView topLeftCell="A19" zoomScale="70" zoomScaleNormal="70" workbookViewId="0">
      <selection activeCell="E42" sqref="D34:F42"/>
    </sheetView>
  </sheetViews>
  <sheetFormatPr defaultRowHeight="15"/>
  <cols>
    <col min="3" max="3" width="32.5703125" customWidth="1"/>
    <col min="4" max="4" width="86.85546875" customWidth="1"/>
    <col min="5" max="5" width="12.140625" customWidth="1"/>
    <col min="6" max="6" width="11.85546875" customWidth="1"/>
    <col min="9" max="9" width="10.140625" bestFit="1" customWidth="1"/>
    <col min="21" max="21" width="10.5703125" customWidth="1"/>
  </cols>
  <sheetData>
    <row r="1" spans="1:24" ht="15.75">
      <c r="A1" s="306" t="s">
        <v>440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  <c r="U1" s="306"/>
      <c r="V1" s="125"/>
      <c r="W1" s="156"/>
      <c r="X1" s="156"/>
    </row>
    <row r="2" spans="1:24">
      <c r="A2" s="307" t="s">
        <v>362</v>
      </c>
      <c r="B2" s="303" t="s">
        <v>279</v>
      </c>
      <c r="C2" s="310" t="s">
        <v>280</v>
      </c>
      <c r="D2" s="322" t="s">
        <v>329</v>
      </c>
      <c r="E2" s="325" t="s">
        <v>330</v>
      </c>
      <c r="F2" s="326"/>
      <c r="G2" s="310" t="s">
        <v>334</v>
      </c>
      <c r="H2" s="310" t="s">
        <v>333</v>
      </c>
      <c r="I2" s="310" t="s">
        <v>335</v>
      </c>
      <c r="J2" s="317" t="s">
        <v>339</v>
      </c>
      <c r="K2" s="318"/>
      <c r="L2" s="318"/>
      <c r="M2" s="318"/>
      <c r="N2" s="318"/>
      <c r="O2" s="318"/>
      <c r="P2" s="318"/>
      <c r="Q2" s="318"/>
      <c r="R2" s="318"/>
      <c r="S2" s="318"/>
      <c r="T2" s="318"/>
      <c r="U2" s="342"/>
      <c r="V2" s="329" t="s">
        <v>341</v>
      </c>
      <c r="W2" s="332" t="s">
        <v>446</v>
      </c>
      <c r="X2" s="332" t="s">
        <v>359</v>
      </c>
    </row>
    <row r="3" spans="1:24" ht="30">
      <c r="A3" s="308"/>
      <c r="B3" s="304"/>
      <c r="C3" s="311"/>
      <c r="D3" s="323"/>
      <c r="E3" s="327"/>
      <c r="F3" s="328"/>
      <c r="G3" s="311"/>
      <c r="H3" s="311"/>
      <c r="I3" s="311"/>
      <c r="J3" s="135">
        <v>2015</v>
      </c>
      <c r="K3" s="135">
        <v>2016</v>
      </c>
      <c r="L3" s="135">
        <v>2017</v>
      </c>
      <c r="M3" s="135">
        <v>2018</v>
      </c>
      <c r="N3" s="135">
        <v>2019</v>
      </c>
      <c r="O3" s="162">
        <v>2020</v>
      </c>
      <c r="P3" s="135">
        <v>2021</v>
      </c>
      <c r="Q3" s="135">
        <v>2022</v>
      </c>
      <c r="R3" s="135">
        <v>2023</v>
      </c>
      <c r="S3" s="135">
        <v>2024</v>
      </c>
      <c r="T3" s="135">
        <v>2025</v>
      </c>
      <c r="U3" s="169" t="s">
        <v>338</v>
      </c>
      <c r="V3" s="330"/>
      <c r="W3" s="333"/>
      <c r="X3" s="333"/>
    </row>
    <row r="4" spans="1:24" ht="30">
      <c r="A4" s="309"/>
      <c r="B4" s="305"/>
      <c r="C4" s="312"/>
      <c r="D4" s="324"/>
      <c r="E4" s="167" t="s">
        <v>331</v>
      </c>
      <c r="F4" s="167" t="s">
        <v>332</v>
      </c>
      <c r="G4" s="312"/>
      <c r="H4" s="312"/>
      <c r="I4" s="312"/>
      <c r="J4" s="170" t="s">
        <v>336</v>
      </c>
      <c r="K4" s="166" t="s">
        <v>336</v>
      </c>
      <c r="L4" s="166" t="s">
        <v>336</v>
      </c>
      <c r="M4" s="166" t="s">
        <v>336</v>
      </c>
      <c r="N4" s="166" t="s">
        <v>336</v>
      </c>
      <c r="O4" s="36" t="s">
        <v>336</v>
      </c>
      <c r="P4" s="166" t="s">
        <v>336</v>
      </c>
      <c r="Q4" s="166" t="s">
        <v>336</v>
      </c>
      <c r="R4" s="166" t="s">
        <v>336</v>
      </c>
      <c r="S4" s="166" t="s">
        <v>336</v>
      </c>
      <c r="T4" s="166" t="s">
        <v>336</v>
      </c>
      <c r="U4" s="166" t="s">
        <v>336</v>
      </c>
      <c r="V4" s="331"/>
      <c r="W4" s="334"/>
      <c r="X4" s="334"/>
    </row>
    <row r="5" spans="1:24">
      <c r="A5" s="105">
        <v>1</v>
      </c>
      <c r="B5" s="105">
        <v>2</v>
      </c>
      <c r="C5" s="105">
        <v>3</v>
      </c>
      <c r="D5" s="105">
        <v>4</v>
      </c>
      <c r="E5" s="105">
        <v>5</v>
      </c>
      <c r="F5" s="105">
        <v>6</v>
      </c>
      <c r="G5" s="105">
        <v>7</v>
      </c>
      <c r="H5" s="105">
        <v>8</v>
      </c>
      <c r="I5" s="105">
        <v>9</v>
      </c>
      <c r="J5" s="105">
        <v>10</v>
      </c>
      <c r="K5" s="105">
        <v>11</v>
      </c>
      <c r="L5" s="105">
        <v>12</v>
      </c>
      <c r="M5" s="105">
        <v>13</v>
      </c>
      <c r="N5" s="105">
        <v>14</v>
      </c>
      <c r="O5" s="163">
        <v>15</v>
      </c>
      <c r="P5" s="105">
        <v>16</v>
      </c>
      <c r="Q5" s="105">
        <v>17</v>
      </c>
      <c r="R5" s="105">
        <v>18</v>
      </c>
      <c r="S5" s="105">
        <v>19</v>
      </c>
      <c r="T5" s="105">
        <v>20</v>
      </c>
      <c r="U5" s="105">
        <v>21</v>
      </c>
      <c r="V5" s="105">
        <v>22</v>
      </c>
      <c r="W5" s="105">
        <v>23</v>
      </c>
      <c r="X5" s="105">
        <v>24</v>
      </c>
    </row>
    <row r="6" spans="1:24">
      <c r="A6" s="335" t="s">
        <v>345</v>
      </c>
      <c r="B6" s="336"/>
      <c r="C6" s="298"/>
      <c r="D6" s="106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</row>
    <row r="7" spans="1:24">
      <c r="A7" s="299" t="s">
        <v>369</v>
      </c>
      <c r="B7" s="300"/>
      <c r="C7" s="301"/>
      <c r="D7" s="107"/>
      <c r="E7" s="121"/>
      <c r="F7" s="121"/>
      <c r="G7" s="121"/>
      <c r="H7" s="121"/>
      <c r="I7" s="152">
        <f>SUM(I8:I20)</f>
        <v>525548.85235005675</v>
      </c>
      <c r="J7" s="152">
        <f t="shared" ref="J7:X7" si="0">SUM(J8:J20)</f>
        <v>0</v>
      </c>
      <c r="K7" s="152">
        <f t="shared" si="0"/>
        <v>0</v>
      </c>
      <c r="L7" s="152">
        <f t="shared" si="0"/>
        <v>0</v>
      </c>
      <c r="M7" s="152">
        <f t="shared" si="0"/>
        <v>0</v>
      </c>
      <c r="N7" s="152">
        <f t="shared" si="0"/>
        <v>3695.7484956739809</v>
      </c>
      <c r="O7" s="152">
        <f t="shared" si="0"/>
        <v>87852.929978181666</v>
      </c>
      <c r="P7" s="152">
        <f t="shared" si="0"/>
        <v>90070.308642046904</v>
      </c>
      <c r="Q7" s="152">
        <f t="shared" si="0"/>
        <v>91382.417859422116</v>
      </c>
      <c r="R7" s="152">
        <f t="shared" si="0"/>
        <v>83499.13642189285</v>
      </c>
      <c r="S7" s="152">
        <f t="shared" si="0"/>
        <v>67556.468577341046</v>
      </c>
      <c r="T7" s="152">
        <f t="shared" si="0"/>
        <v>101491.84237549816</v>
      </c>
      <c r="U7" s="152">
        <f t="shared" si="0"/>
        <v>525548.85235005675</v>
      </c>
      <c r="V7" s="152"/>
      <c r="W7" s="152">
        <f t="shared" si="0"/>
        <v>4573.4623073310804</v>
      </c>
      <c r="X7" s="152">
        <f t="shared" si="0"/>
        <v>16348.271765588552</v>
      </c>
    </row>
    <row r="8" spans="1:24" ht="28.5">
      <c r="A8" s="124" t="s">
        <v>294</v>
      </c>
      <c r="B8" s="148">
        <v>5</v>
      </c>
      <c r="C8" s="138" t="s">
        <v>388</v>
      </c>
      <c r="D8" s="123" t="s">
        <v>416</v>
      </c>
      <c r="E8" s="167" t="s">
        <v>342</v>
      </c>
      <c r="F8" s="167">
        <v>1</v>
      </c>
      <c r="G8" s="113">
        <v>0</v>
      </c>
      <c r="H8" s="113">
        <v>0</v>
      </c>
      <c r="I8" s="153">
        <v>53582.899215955083</v>
      </c>
      <c r="J8" s="153"/>
      <c r="K8" s="153"/>
      <c r="L8" s="153"/>
      <c r="M8" s="153"/>
      <c r="N8" s="153">
        <v>2371.2504731180197</v>
      </c>
      <c r="O8" s="151">
        <v>51211.648742837067</v>
      </c>
      <c r="P8" s="153"/>
      <c r="Q8" s="153"/>
      <c r="R8" s="153"/>
      <c r="S8" s="153"/>
      <c r="T8" s="153"/>
      <c r="U8" s="153">
        <v>53582.899215955083</v>
      </c>
      <c r="V8" s="153"/>
      <c r="W8" s="153">
        <v>133.36455444174081</v>
      </c>
      <c r="X8" s="153">
        <v>933.55188109218568</v>
      </c>
    </row>
    <row r="9" spans="1:24" ht="30">
      <c r="A9" s="124" t="s">
        <v>296</v>
      </c>
      <c r="B9" s="148">
        <v>5</v>
      </c>
      <c r="C9" s="138" t="s">
        <v>412</v>
      </c>
      <c r="D9" s="131" t="s">
        <v>413</v>
      </c>
      <c r="E9" s="167" t="s">
        <v>326</v>
      </c>
      <c r="F9" s="167" t="s">
        <v>340</v>
      </c>
      <c r="G9" s="113">
        <v>0</v>
      </c>
      <c r="H9" s="113">
        <v>0</v>
      </c>
      <c r="I9" s="153">
        <v>29313.779257900569</v>
      </c>
      <c r="J9" s="153"/>
      <c r="K9" s="153"/>
      <c r="L9" s="153"/>
      <c r="M9" s="153"/>
      <c r="N9" s="153">
        <v>1324.4980225559614</v>
      </c>
      <c r="O9" s="151">
        <v>27989.281235344606</v>
      </c>
      <c r="P9" s="153"/>
      <c r="Q9" s="153"/>
      <c r="R9" s="153"/>
      <c r="S9" s="153"/>
      <c r="T9" s="153"/>
      <c r="U9" s="153">
        <v>29313.779257900569</v>
      </c>
      <c r="V9" s="153"/>
      <c r="W9" s="153">
        <v>1737.2039249011491</v>
      </c>
      <c r="X9" s="153">
        <v>8686.019624505745</v>
      </c>
    </row>
    <row r="10" spans="1:24" ht="42.75">
      <c r="A10" s="124" t="s">
        <v>306</v>
      </c>
      <c r="B10" s="148">
        <v>5</v>
      </c>
      <c r="C10" s="138" t="s">
        <v>386</v>
      </c>
      <c r="D10" s="131" t="s">
        <v>410</v>
      </c>
      <c r="E10" s="167" t="s">
        <v>370</v>
      </c>
      <c r="F10" s="167" t="s">
        <v>411</v>
      </c>
      <c r="G10" s="113">
        <v>0</v>
      </c>
      <c r="H10" s="113">
        <v>0</v>
      </c>
      <c r="I10" s="153">
        <v>68730.39</v>
      </c>
      <c r="J10" s="153"/>
      <c r="K10" s="153"/>
      <c r="L10" s="153"/>
      <c r="M10" s="153"/>
      <c r="N10" s="153"/>
      <c r="O10" s="151">
        <v>3042</v>
      </c>
      <c r="P10" s="153">
        <v>65688.39</v>
      </c>
      <c r="Q10" s="153"/>
      <c r="R10" s="153"/>
      <c r="S10" s="153"/>
      <c r="T10" s="153"/>
      <c r="U10" s="153">
        <v>68730.39</v>
      </c>
      <c r="V10" s="153"/>
      <c r="W10" s="153">
        <v>356.86346781110541</v>
      </c>
      <c r="X10" s="153">
        <v>2141.1808068666323</v>
      </c>
    </row>
    <row r="11" spans="1:24" ht="28.5">
      <c r="A11" s="124" t="s">
        <v>314</v>
      </c>
      <c r="B11" s="148">
        <v>5</v>
      </c>
      <c r="C11" s="138" t="s">
        <v>390</v>
      </c>
      <c r="D11" s="99" t="s">
        <v>419</v>
      </c>
      <c r="E11" s="167"/>
      <c r="F11" s="167"/>
      <c r="G11" s="113">
        <v>0</v>
      </c>
      <c r="H11" s="113">
        <v>0</v>
      </c>
      <c r="I11" s="153">
        <v>7341.3034728276689</v>
      </c>
      <c r="J11" s="153"/>
      <c r="K11" s="153"/>
      <c r="L11" s="153"/>
      <c r="M11" s="153"/>
      <c r="N11" s="153"/>
      <c r="O11" s="151"/>
      <c r="P11" s="153">
        <v>331.70550433625152</v>
      </c>
      <c r="Q11" s="153">
        <v>7009.5979684914173</v>
      </c>
      <c r="R11" s="153"/>
      <c r="S11" s="153"/>
      <c r="T11" s="153"/>
      <c r="U11" s="153">
        <v>7341.3034728276689</v>
      </c>
      <c r="V11" s="153"/>
      <c r="W11" s="149">
        <v>16.842291912039926</v>
      </c>
      <c r="X11" s="153">
        <v>67.369167648159703</v>
      </c>
    </row>
    <row r="12" spans="1:24" ht="28.5">
      <c r="A12" s="124" t="s">
        <v>316</v>
      </c>
      <c r="B12" s="148">
        <v>5</v>
      </c>
      <c r="C12" s="138" t="s">
        <v>387</v>
      </c>
      <c r="D12" s="131" t="s">
        <v>415</v>
      </c>
      <c r="E12" s="167" t="s">
        <v>324</v>
      </c>
      <c r="F12" s="167" t="s">
        <v>342</v>
      </c>
      <c r="G12" s="113">
        <v>0</v>
      </c>
      <c r="H12" s="113">
        <v>0</v>
      </c>
      <c r="I12" s="153">
        <v>22045.454684133776</v>
      </c>
      <c r="J12" s="153"/>
      <c r="K12" s="153"/>
      <c r="L12" s="153"/>
      <c r="M12" s="153"/>
      <c r="N12" s="153"/>
      <c r="O12" s="151">
        <v>2683</v>
      </c>
      <c r="P12" s="153"/>
      <c r="Q12" s="153">
        <v>19362.454684133776</v>
      </c>
      <c r="R12" s="153"/>
      <c r="S12" s="153"/>
      <c r="T12" s="153"/>
      <c r="U12" s="153">
        <v>22045.454684133776</v>
      </c>
      <c r="V12" s="153"/>
      <c r="W12" s="153">
        <v>198.89785742606426</v>
      </c>
      <c r="X12" s="153">
        <v>994.48928713032137</v>
      </c>
    </row>
    <row r="13" spans="1:24" s="125" customFormat="1" ht="67.5" customHeight="1">
      <c r="A13" s="124" t="s">
        <v>317</v>
      </c>
      <c r="B13" s="148">
        <v>5</v>
      </c>
      <c r="C13" s="138" t="s">
        <v>428</v>
      </c>
      <c r="D13" s="123" t="s">
        <v>417</v>
      </c>
      <c r="E13" s="167" t="s">
        <v>370</v>
      </c>
      <c r="F13" s="167" t="s">
        <v>418</v>
      </c>
      <c r="G13" s="113">
        <v>0</v>
      </c>
      <c r="H13" s="113">
        <v>0</v>
      </c>
      <c r="I13" s="153">
        <v>64787.947514226325</v>
      </c>
      <c r="J13" s="153"/>
      <c r="K13" s="153"/>
      <c r="L13" s="153"/>
      <c r="M13" s="153"/>
      <c r="N13" s="153"/>
      <c r="O13" s="151">
        <v>2927</v>
      </c>
      <c r="P13" s="153">
        <v>19362.454684133776</v>
      </c>
      <c r="Q13" s="153">
        <v>42498.492830092546</v>
      </c>
      <c r="R13" s="153"/>
      <c r="S13" s="153"/>
      <c r="T13" s="153"/>
      <c r="U13" s="153">
        <v>64787.947514226325</v>
      </c>
      <c r="V13" s="153"/>
      <c r="W13" s="153">
        <v>63.241356388675598</v>
      </c>
      <c r="X13" s="153">
        <v>189.72406916602679</v>
      </c>
    </row>
    <row r="14" spans="1:24" ht="28.5">
      <c r="A14" s="124" t="s">
        <v>320</v>
      </c>
      <c r="B14" s="148">
        <v>5</v>
      </c>
      <c r="C14" s="138" t="s">
        <v>389</v>
      </c>
      <c r="D14" s="131" t="s">
        <v>414</v>
      </c>
      <c r="E14" s="167" t="s">
        <v>324</v>
      </c>
      <c r="F14" s="167">
        <v>1</v>
      </c>
      <c r="G14" s="113">
        <v>0</v>
      </c>
      <c r="H14" s="113">
        <v>0</v>
      </c>
      <c r="I14" s="153">
        <v>20278.717332157037</v>
      </c>
      <c r="J14" s="153"/>
      <c r="K14" s="153"/>
      <c r="L14" s="153"/>
      <c r="M14" s="153"/>
      <c r="N14" s="153"/>
      <c r="O14" s="151"/>
      <c r="P14" s="153">
        <v>916.26264802326011</v>
      </c>
      <c r="Q14" s="153">
        <v>19362.454684133776</v>
      </c>
      <c r="R14" s="153"/>
      <c r="S14" s="153"/>
      <c r="T14" s="153"/>
      <c r="U14" s="153">
        <v>20278.717332157037</v>
      </c>
      <c r="V14" s="153"/>
      <c r="W14" s="153">
        <v>28.194037364587391</v>
      </c>
      <c r="X14" s="153">
        <v>84.582112093762177</v>
      </c>
    </row>
    <row r="15" spans="1:24" s="137" customFormat="1" ht="56.25" customHeight="1">
      <c r="A15" s="154" t="s">
        <v>300</v>
      </c>
      <c r="B15" s="148">
        <v>5</v>
      </c>
      <c r="C15" s="138" t="s">
        <v>375</v>
      </c>
      <c r="D15" s="139" t="s">
        <v>373</v>
      </c>
      <c r="E15" s="165" t="s">
        <v>374</v>
      </c>
      <c r="F15" s="167" t="s">
        <v>376</v>
      </c>
      <c r="G15" s="140">
        <v>0</v>
      </c>
      <c r="H15" s="140">
        <v>0</v>
      </c>
      <c r="I15" s="151">
        <f>SUM(J15:T15)</f>
        <v>83470.713910730425</v>
      </c>
      <c r="J15" s="149"/>
      <c r="K15" s="149"/>
      <c r="L15" s="149"/>
      <c r="M15" s="149"/>
      <c r="N15" s="149"/>
      <c r="O15" s="149"/>
      <c r="P15" s="153">
        <v>3771.495805553624</v>
      </c>
      <c r="Q15" s="153"/>
      <c r="R15" s="153">
        <v>79699.218105176798</v>
      </c>
      <c r="S15" s="153"/>
      <c r="T15" s="153"/>
      <c r="U15" s="151">
        <f>SUM(J15:T15)</f>
        <v>83470.713910730425</v>
      </c>
      <c r="V15" s="149"/>
      <c r="W15" s="153">
        <f>X15/2</f>
        <v>1212.5</v>
      </c>
      <c r="X15" s="153">
        <v>2425</v>
      </c>
    </row>
    <row r="16" spans="1:24" s="137" customFormat="1" ht="51.75" customHeight="1">
      <c r="A16" s="154" t="s">
        <v>301</v>
      </c>
      <c r="B16" s="148">
        <v>5</v>
      </c>
      <c r="C16" s="138" t="s">
        <v>278</v>
      </c>
      <c r="D16" s="139" t="s">
        <v>377</v>
      </c>
      <c r="E16" s="167" t="s">
        <v>324</v>
      </c>
      <c r="F16" s="167">
        <v>5</v>
      </c>
      <c r="G16" s="140">
        <v>0</v>
      </c>
      <c r="H16" s="140">
        <v>0</v>
      </c>
      <c r="I16" s="151">
        <f t="shared" ref="I16" si="1">SUM(J16:T16)</f>
        <v>27025.837273897527</v>
      </c>
      <c r="J16" s="149"/>
      <c r="K16" s="149"/>
      <c r="L16" s="149"/>
      <c r="M16" s="149"/>
      <c r="N16" s="149"/>
      <c r="O16" s="149"/>
      <c r="P16" s="153"/>
      <c r="Q16" s="153">
        <v>1221.1208835363293</v>
      </c>
      <c r="R16" s="153"/>
      <c r="S16" s="153">
        <v>25804.716390361198</v>
      </c>
      <c r="T16" s="153"/>
      <c r="U16" s="151">
        <f t="shared" ref="U16" si="2">SUM(J16:T16)</f>
        <v>27025.837273897527</v>
      </c>
      <c r="V16" s="149"/>
      <c r="W16" s="153">
        <f>X16</f>
        <v>1.4319999999999999</v>
      </c>
      <c r="X16" s="153">
        <v>1.4319999999999999</v>
      </c>
    </row>
    <row r="17" spans="1:24" ht="30">
      <c r="A17" s="124" t="s">
        <v>441</v>
      </c>
      <c r="B17" s="148">
        <v>5</v>
      </c>
      <c r="C17" s="138" t="s">
        <v>424</v>
      </c>
      <c r="D17" s="139" t="s">
        <v>425</v>
      </c>
      <c r="E17" s="167" t="s">
        <v>325</v>
      </c>
      <c r="F17" s="167" t="s">
        <v>327</v>
      </c>
      <c r="G17" s="132">
        <v>0</v>
      </c>
      <c r="H17" s="132">
        <v>0</v>
      </c>
      <c r="I17" s="153">
        <v>7292.8278685917612</v>
      </c>
      <c r="J17" s="149"/>
      <c r="K17" s="149"/>
      <c r="L17" s="149"/>
      <c r="M17" s="149"/>
      <c r="N17" s="149"/>
      <c r="O17" s="108"/>
      <c r="P17" s="153"/>
      <c r="Q17" s="153">
        <v>329.51520872858566</v>
      </c>
      <c r="R17" s="153"/>
      <c r="S17" s="153">
        <v>6963.3126598631752</v>
      </c>
      <c r="T17" s="153"/>
      <c r="U17" s="153">
        <v>7292.8278685917612</v>
      </c>
      <c r="V17" s="149"/>
      <c r="W17" s="153">
        <v>1.4318818706087426</v>
      </c>
      <c r="X17" s="153">
        <v>1.4318818706087426</v>
      </c>
    </row>
    <row r="18" spans="1:24" ht="30">
      <c r="A18" s="124" t="s">
        <v>442</v>
      </c>
      <c r="B18" s="148">
        <v>5</v>
      </c>
      <c r="C18" s="138" t="s">
        <v>427</v>
      </c>
      <c r="D18" s="139" t="s">
        <v>426</v>
      </c>
      <c r="E18" s="167" t="s">
        <v>325</v>
      </c>
      <c r="F18" s="167" t="s">
        <v>328</v>
      </c>
      <c r="G18" s="132">
        <v>0</v>
      </c>
      <c r="H18" s="132">
        <v>0</v>
      </c>
      <c r="I18" s="153">
        <v>35384.221127422352</v>
      </c>
      <c r="J18" s="149"/>
      <c r="K18" s="149"/>
      <c r="L18" s="149"/>
      <c r="M18" s="149"/>
      <c r="N18" s="149"/>
      <c r="O18" s="108"/>
      <c r="P18" s="153"/>
      <c r="Q18" s="153">
        <v>1598.7816003056819</v>
      </c>
      <c r="R18" s="153"/>
      <c r="S18" s="153">
        <v>33785.439527116672</v>
      </c>
      <c r="T18" s="153"/>
      <c r="U18" s="153">
        <v>35384.221127422352</v>
      </c>
      <c r="V18" s="149"/>
      <c r="W18" s="153">
        <v>676.3810361815066</v>
      </c>
      <c r="X18" s="153">
        <v>676.3810361815066</v>
      </c>
    </row>
    <row r="19" spans="1:24" ht="28.5">
      <c r="A19" s="124" t="s">
        <v>323</v>
      </c>
      <c r="B19" s="148">
        <v>5</v>
      </c>
      <c r="C19" s="138" t="s">
        <v>429</v>
      </c>
      <c r="D19" s="131" t="s">
        <v>420</v>
      </c>
      <c r="E19" s="167" t="s">
        <v>342</v>
      </c>
      <c r="F19" s="167">
        <v>1</v>
      </c>
      <c r="G19" s="132">
        <v>0</v>
      </c>
      <c r="H19" s="132">
        <v>0</v>
      </c>
      <c r="I19" s="153">
        <v>22195</v>
      </c>
      <c r="J19" s="149"/>
      <c r="K19" s="149"/>
      <c r="L19" s="149"/>
      <c r="M19" s="149"/>
      <c r="N19" s="149"/>
      <c r="O19" s="151"/>
      <c r="P19" s="161"/>
      <c r="Q19" s="153"/>
      <c r="R19" s="153"/>
      <c r="S19" s="153">
        <v>1003</v>
      </c>
      <c r="T19" s="153">
        <v>21192</v>
      </c>
      <c r="U19" s="153">
        <v>22195</v>
      </c>
      <c r="V19" s="149"/>
      <c r="W19" s="153">
        <v>134.12306346296575</v>
      </c>
      <c r="X19" s="153">
        <v>134.12306346296575</v>
      </c>
    </row>
    <row r="20" spans="1:24" ht="30">
      <c r="A20" s="124" t="s">
        <v>443</v>
      </c>
      <c r="B20" s="148">
        <v>5</v>
      </c>
      <c r="C20" s="138" t="s">
        <v>421</v>
      </c>
      <c r="D20" s="139" t="s">
        <v>422</v>
      </c>
      <c r="E20" s="167" t="s">
        <v>370</v>
      </c>
      <c r="F20" s="167" t="s">
        <v>423</v>
      </c>
      <c r="G20" s="132">
        <v>0</v>
      </c>
      <c r="H20" s="132">
        <v>0</v>
      </c>
      <c r="I20" s="153">
        <v>84099.760692214215</v>
      </c>
      <c r="J20" s="149"/>
      <c r="K20" s="149"/>
      <c r="L20" s="149"/>
      <c r="M20" s="149"/>
      <c r="N20" s="149"/>
      <c r="O20" s="108"/>
      <c r="P20" s="153"/>
      <c r="Q20" s="153"/>
      <c r="R20" s="153">
        <v>3799.9183167160459</v>
      </c>
      <c r="S20" s="153"/>
      <c r="T20" s="153">
        <v>80299.842375498163</v>
      </c>
      <c r="U20" s="153">
        <v>84099.760692214215</v>
      </c>
      <c r="V20" s="149"/>
      <c r="W20" s="153">
        <v>12.986835570637435</v>
      </c>
      <c r="X20" s="153">
        <v>12.986835570637435</v>
      </c>
    </row>
    <row r="21" spans="1:24">
      <c r="A21" s="296" t="s">
        <v>356</v>
      </c>
      <c r="B21" s="297"/>
      <c r="C21" s="298"/>
      <c r="D21" s="168"/>
      <c r="E21" s="168"/>
      <c r="F21" s="168"/>
      <c r="G21" s="168"/>
      <c r="H21" s="168"/>
      <c r="I21" s="168">
        <f>SUM(I8:I20)</f>
        <v>525548.85235005675</v>
      </c>
      <c r="J21" s="168">
        <f t="shared" ref="J21:X21" si="3">SUM(J8:J20)</f>
        <v>0</v>
      </c>
      <c r="K21" s="168">
        <f t="shared" si="3"/>
        <v>0</v>
      </c>
      <c r="L21" s="168">
        <f t="shared" si="3"/>
        <v>0</v>
      </c>
      <c r="M21" s="168">
        <f t="shared" si="3"/>
        <v>0</v>
      </c>
      <c r="N21" s="168">
        <f t="shared" si="3"/>
        <v>3695.7484956739809</v>
      </c>
      <c r="O21" s="168">
        <f t="shared" si="3"/>
        <v>87852.929978181666</v>
      </c>
      <c r="P21" s="168">
        <f t="shared" si="3"/>
        <v>90070.308642046904</v>
      </c>
      <c r="Q21" s="168">
        <f t="shared" si="3"/>
        <v>91382.417859422116</v>
      </c>
      <c r="R21" s="168">
        <f t="shared" si="3"/>
        <v>83499.13642189285</v>
      </c>
      <c r="S21" s="168">
        <f t="shared" si="3"/>
        <v>67556.468577341046</v>
      </c>
      <c r="T21" s="168">
        <f t="shared" si="3"/>
        <v>101491.84237549816</v>
      </c>
      <c r="U21" s="168">
        <f t="shared" si="3"/>
        <v>525548.85235005675</v>
      </c>
      <c r="V21" s="168"/>
      <c r="W21" s="168">
        <f t="shared" si="3"/>
        <v>4573.4623073310804</v>
      </c>
      <c r="X21" s="168">
        <f t="shared" si="3"/>
        <v>16348.271765588552</v>
      </c>
    </row>
    <row r="33" spans="4:6" ht="15.75" thickBot="1"/>
    <row r="34" spans="4:6" ht="15.75" thickBot="1">
      <c r="D34" s="171" t="s">
        <v>447</v>
      </c>
      <c r="E34" s="172">
        <v>2015</v>
      </c>
      <c r="F34" s="172">
        <v>2025</v>
      </c>
    </row>
    <row r="35" spans="4:6" ht="15.75" thickBot="1">
      <c r="D35" s="173" t="s">
        <v>448</v>
      </c>
      <c r="E35" s="174">
        <v>78321.260999999999</v>
      </c>
      <c r="F35" s="174">
        <v>103843.3</v>
      </c>
    </row>
    <row r="36" spans="4:6" ht="15.75" thickBot="1">
      <c r="D36" s="173" t="s">
        <v>449</v>
      </c>
      <c r="E36" s="174">
        <v>11818.075000000001</v>
      </c>
      <c r="F36" s="175">
        <v>10810.73</v>
      </c>
    </row>
    <row r="37" spans="4:6" ht="15.75" thickBot="1">
      <c r="D37" s="173" t="s">
        <v>450</v>
      </c>
      <c r="E37" s="176">
        <v>207.1181</v>
      </c>
      <c r="F37" s="176">
        <v>270.40507000000002</v>
      </c>
    </row>
    <row r="38" spans="4:6" ht="30.75" thickBot="1">
      <c r="D38" s="173" t="s">
        <v>451</v>
      </c>
      <c r="E38" s="338">
        <v>4623.1000000000004</v>
      </c>
      <c r="F38" s="339"/>
    </row>
    <row r="39" spans="4:6" ht="15.75" thickBot="1">
      <c r="D39" s="173" t="s">
        <v>452</v>
      </c>
      <c r="E39" s="340">
        <v>448792</v>
      </c>
      <c r="F39" s="341"/>
    </row>
    <row r="40" spans="4:6" ht="15.75" thickBot="1">
      <c r="D40" s="173" t="s">
        <v>453</v>
      </c>
      <c r="E40" s="340">
        <v>2468553</v>
      </c>
      <c r="F40" s="341"/>
    </row>
    <row r="41" spans="4:6" ht="15.75" thickBot="1">
      <c r="D41" s="173" t="s">
        <v>454</v>
      </c>
      <c r="E41" s="340">
        <v>2992392</v>
      </c>
      <c r="F41" s="341"/>
    </row>
    <row r="42" spans="4:6" ht="30.75" thickBot="1">
      <c r="D42" s="173" t="s">
        <v>455</v>
      </c>
      <c r="E42" s="338" t="s">
        <v>456</v>
      </c>
      <c r="F42" s="339"/>
    </row>
  </sheetData>
  <mergeCells count="21">
    <mergeCell ref="A21:C21"/>
    <mergeCell ref="V2:V4"/>
    <mergeCell ref="W2:W4"/>
    <mergeCell ref="X2:X4"/>
    <mergeCell ref="A6:C6"/>
    <mergeCell ref="A7:C7"/>
    <mergeCell ref="A1:U1"/>
    <mergeCell ref="A2:A4"/>
    <mergeCell ref="B2:B4"/>
    <mergeCell ref="C2:C4"/>
    <mergeCell ref="D2:D4"/>
    <mergeCell ref="E2:F3"/>
    <mergeCell ref="G2:G4"/>
    <mergeCell ref="H2:H4"/>
    <mergeCell ref="I2:I4"/>
    <mergeCell ref="J2:U2"/>
    <mergeCell ref="E38:F38"/>
    <mergeCell ref="E39:F39"/>
    <mergeCell ref="E40:F40"/>
    <mergeCell ref="E41:F41"/>
    <mergeCell ref="E42:F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Листы</vt:lpstr>
      </vt:variant>
      <vt:variant>
        <vt:i4>6</vt:i4>
      </vt:variant>
      <vt:variant>
        <vt:lpstr>Диаграммы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6" baseType="lpstr">
      <vt:lpstr>Инвестиционная программа</vt:lpstr>
      <vt:lpstr>Свод по цехам_Инвестиции</vt:lpstr>
      <vt:lpstr>Свод по цехам_Потери добычи</vt:lpstr>
      <vt:lpstr>ДК Р 18-25</vt:lpstr>
      <vt:lpstr>ДК П 18-25</vt:lpstr>
      <vt:lpstr>Лист1</vt:lpstr>
      <vt:lpstr>Диаг_Распред инвест-ий по цехам</vt:lpstr>
      <vt:lpstr>Диаг_Инвестпрогр по годам</vt:lpstr>
      <vt:lpstr>Диаг_Инвест прог в разрезе цехо</vt:lpstr>
      <vt:lpstr>Диаг_Инвестиции нарост итогом</vt:lpstr>
      <vt:lpstr>Диаг_Сниж потерь по цехам (тн)</vt:lpstr>
      <vt:lpstr>Диаг_Сниж потерь по цехам (руб)</vt:lpstr>
      <vt:lpstr>Диаг_Сниж потерь по годам (тн)</vt:lpstr>
      <vt:lpstr>Диаг_Сниж потерь по годам (руб)</vt:lpstr>
      <vt:lpstr>'ДК П 18-25'!Область_печати</vt:lpstr>
      <vt:lpstr>'ДК Р 18-25'!Область_печати</vt:lpstr>
    </vt:vector>
  </TitlesOfParts>
  <Company>ООО ЭнергоФихтнер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Belobrov</dc:creator>
  <cp:lastModifiedBy>Олеся Саландина</cp:lastModifiedBy>
  <cp:lastPrinted>2018-02-19T10:06:57Z</cp:lastPrinted>
  <dcterms:created xsi:type="dcterms:W3CDTF">2015-12-02T11:57:17Z</dcterms:created>
  <dcterms:modified xsi:type="dcterms:W3CDTF">2018-02-28T08:46:17Z</dcterms:modified>
</cp:coreProperties>
</file>