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0" windowWidth="25440" windowHeight="15720" tabRatio="783" activeTab="6"/>
  </bookViews>
  <sheets>
    <sheet name="январь  2024" sheetId="102" r:id="rId1"/>
    <sheet name="февраль  2024 " sheetId="103" r:id="rId2"/>
    <sheet name="март 2024 " sheetId="104" r:id="rId3"/>
    <sheet name="апрель 2024 " sheetId="105" r:id="rId4"/>
    <sheet name="май  2024 " sheetId="106" r:id="rId5"/>
    <sheet name="июнь  2024 " sheetId="107" r:id="rId6"/>
    <sheet name="июль  2024 " sheetId="108" r:id="rId7"/>
    <sheet name="июнь 2015" sheetId="22" state="hidden" r:id="rId8"/>
    <sheet name="июль 2015" sheetId="23" state="hidden" r:id="rId9"/>
    <sheet name="август 2015" sheetId="24" state="hidden" r:id="rId10"/>
    <sheet name="сентябрь 2015" sheetId="25" state="hidden" r:id="rId11"/>
    <sheet name="октябрь 2015" sheetId="26" state="hidden" r:id="rId12"/>
    <sheet name="ноябрь 2015" sheetId="27" state="hidden" r:id="rId13"/>
    <sheet name="декабрь 2015" sheetId="28" state="hidden" r:id="rId14"/>
  </sheets>
  <externalReferences>
    <externalReference r:id="rId15"/>
  </externalReferences>
  <calcPr calcId="145621"/>
</workbook>
</file>

<file path=xl/calcChain.xml><?xml version="1.0" encoding="utf-8"?>
<calcChain xmlns="http://schemas.openxmlformats.org/spreadsheetml/2006/main">
  <c r="G16" i="108" l="1"/>
  <c r="G15" i="108"/>
  <c r="G14" i="108"/>
  <c r="F9" i="108"/>
  <c r="F8" i="108"/>
  <c r="H7" i="108"/>
  <c r="I7" i="108" s="1"/>
  <c r="F7" i="108"/>
  <c r="H6" i="108"/>
  <c r="I6" i="108" s="1"/>
  <c r="F6" i="108"/>
  <c r="F19" i="107" l="1"/>
  <c r="F18" i="107"/>
  <c r="G16" i="107" l="1"/>
  <c r="G15" i="107"/>
  <c r="G14" i="107"/>
  <c r="F9" i="107"/>
  <c r="F8" i="107"/>
  <c r="H7" i="107"/>
  <c r="I7" i="107" s="1"/>
  <c r="F7" i="107"/>
  <c r="H6" i="107"/>
  <c r="I6" i="107" s="1"/>
  <c r="F6" i="107"/>
  <c r="G15" i="106" l="1"/>
  <c r="G14" i="106"/>
  <c r="G16" i="106"/>
  <c r="F9" i="106" l="1"/>
  <c r="F8" i="106"/>
  <c r="H7" i="106"/>
  <c r="I7" i="106" s="1"/>
  <c r="F7" i="106"/>
  <c r="H6" i="106"/>
  <c r="I6" i="106" s="1"/>
  <c r="F6" i="106"/>
  <c r="G15" i="105" l="1"/>
  <c r="G16" i="105"/>
  <c r="F9" i="105"/>
  <c r="F8" i="105"/>
  <c r="H7" i="105"/>
  <c r="I7" i="105" s="1"/>
  <c r="F7" i="105"/>
  <c r="H6" i="105"/>
  <c r="I6" i="105" s="1"/>
  <c r="F6" i="105"/>
  <c r="G16" i="104" l="1"/>
  <c r="G15" i="104"/>
  <c r="F9" i="104"/>
  <c r="F8" i="104"/>
  <c r="H7" i="104"/>
  <c r="I7" i="104" s="1"/>
  <c r="F7" i="104"/>
  <c r="H6" i="104"/>
  <c r="I6" i="104" s="1"/>
  <c r="F6" i="104"/>
  <c r="G16" i="103" l="1"/>
  <c r="G15" i="103"/>
  <c r="F9" i="103" l="1"/>
  <c r="F8" i="103"/>
  <c r="H7" i="103"/>
  <c r="I7" i="103" s="1"/>
  <c r="F7" i="103"/>
  <c r="H6" i="103"/>
  <c r="I6" i="103" s="1"/>
  <c r="F6" i="103"/>
  <c r="H7" i="102" l="1"/>
  <c r="I7" i="102" s="1"/>
  <c r="F7" i="102"/>
  <c r="H6" i="102"/>
  <c r="I6" i="102" s="1"/>
  <c r="F6" i="102"/>
  <c r="E6" i="28" l="1"/>
  <c r="D6" i="28"/>
  <c r="E6" i="27"/>
  <c r="D6" i="27"/>
  <c r="E6" i="26"/>
  <c r="D6" i="26"/>
  <c r="E6" i="25"/>
  <c r="D6" i="25"/>
  <c r="E6" i="24"/>
  <c r="D6" i="24"/>
  <c r="E6" i="23"/>
  <c r="D6" i="23"/>
  <c r="E6" i="22"/>
  <c r="D6" i="22"/>
  <c r="F6" i="28" l="1"/>
  <c r="F6" i="22"/>
  <c r="F6" i="24"/>
  <c r="F6" i="26"/>
  <c r="F6" i="23"/>
  <c r="F6" i="25"/>
  <c r="F6" i="27"/>
</calcChain>
</file>

<file path=xl/sharedStrings.xml><?xml version="1.0" encoding="utf-8"?>
<sst xmlns="http://schemas.openxmlformats.org/spreadsheetml/2006/main" count="350" uniqueCount="36">
  <si>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</si>
  <si>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</si>
  <si>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</si>
  <si>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</si>
  <si>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</si>
  <si>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</si>
  <si>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</si>
  <si>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</si>
  <si>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</si>
  <si>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</si>
  <si>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13</t>
  </si>
  <si>
    <t>договор №207-22 от 17.03.2015г.</t>
  </si>
  <si>
    <t>ООО "ЭкоСельЭнерго"</t>
  </si>
  <si>
    <t>"Оренбургэнерго"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</si>
  <si>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</si>
  <si>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</si>
  <si>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</si>
  <si>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</si>
  <si>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октябрь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</si>
  <si>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ноябрь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</si>
  <si>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декабрь  2015 года.</t>
  </si>
  <si>
    <t>АО "Самаранефтегаз"</t>
  </si>
  <si>
    <t>2015-Э/ДХ-СМ-1111/15-00468-010/3223114/3552Д от 22.01.2015</t>
  </si>
  <si>
    <t>ООО "РН-ЭНЕРГО"</t>
  </si>
  <si>
    <t>Объём потерь (тыс. кВтч)</t>
  </si>
  <si>
    <t>Стоимость
(тыс. рублей, без НДС)</t>
  </si>
  <si>
    <t>Объём потерь (МВт)</t>
  </si>
  <si>
    <t xml:space="preserve"> ОРЭ, по сетям ФСК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</si>
  <si>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январь  2024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</si>
  <si>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февраль  2024 года.</t>
  </si>
  <si>
    <t>АО "Самаранефтегаз" (от сетей фск)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</si>
  <si>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март  2024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</si>
  <si>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апрель  2024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</si>
  <si>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май  2024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</si>
  <si>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 2024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</si>
  <si>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 2024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</si>
</sst>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₽_-;\-* #,##0.00\ _₽_-;_-* &quot;-&quot;??\ _₽_-;_-@_-"/>
    <numFmt numFmtId="164" formatCode="#,##0.0"/>
    <numFmt numFmtId="165" formatCode="_-* #,##0.000000\ _₽_-;\-* #,##0.000000\ _₽_-;_-* &quot;-&quot;??\ _₽_-;_-@_-"/>
    <numFmt numFmtId="166" formatCode="_-* #,##0.00000\ _₽_-;\-* #,##0.00000\ _₽_-;_-* &quot;-&quot;??\ _₽_-;_-@_-"/>
    <numFmt numFmtId="167" formatCode="0.00000"/>
    <numFmt numFmtId="168" formatCode="_-* #,##0.000\ _₽_-;\-* #,##0.000\ _₽_-;_-* &quot;-&quot;??\ _₽_-;_-@_-"/>
    <numFmt numFmtId="169" formatCode="0.000"/>
    <numFmt numFmtId="170" formatCode="_(* #,##0.0000000_);_(* \(#,##0.0000000\);_(* &quot;-&quot;??_);_(@_)"/>
    <numFmt numFmtId="171" formatCode="_-* #,##0.00000\ _₽_-;\-* #,##0.00000\ _₽_-;_-* &quot;-&quot;?????\ _₽_-;_-@_-"/>
    <numFmt numFmtId="172" formatCode="0.000000"/>
    <numFmt numFmtId="173" formatCode="0.0000"/>
    <numFmt numFmtId="174" formatCode="_-* #,##0.000\ _₽_-;\-* #,##0.000\ _₽_-;_-* &quot;-&quot;???\ _₽_-;_-@_-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  <font>
      <sz val="11"/>
      <color theme="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7" fillId="0" borderId="4" xfId="0" applyFont="1" applyBorder="1"/>
    <xf numFmtId="0" fontId="5" fillId="0" borderId="0" xfId="1" applyFont="1"/>
    <xf numFmtId="0" fontId="8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3" fillId="0" borderId="5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3" fontId="3" fillId="0" borderId="0" xfId="0" applyNumberFormat="1" applyFont="1"/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165" fontId="3" fillId="0" borderId="5" xfId="4" applyNumberFormat="1" applyFont="1" applyBorder="1" applyAlignment="1">
      <alignment horizontal="center" vertical="center"/>
    </xf>
    <xf numFmtId="166" fontId="7" fillId="0" borderId="1" xfId="4" applyNumberFormat="1" applyFont="1" applyBorder="1" applyAlignment="1">
      <alignment horizontal="center" vertical="center" wrapText="1"/>
    </xf>
    <xf numFmtId="165" fontId="3" fillId="0" borderId="0" xfId="0" applyNumberFormat="1" applyFont="1"/>
    <xf numFmtId="168" fontId="3" fillId="0" borderId="5" xfId="4" applyNumberFormat="1" applyFont="1" applyBorder="1" applyAlignment="1">
      <alignment horizontal="center" vertical="center"/>
    </xf>
    <xf numFmtId="43" fontId="3" fillId="0" borderId="0" xfId="0" applyNumberFormat="1" applyFont="1"/>
    <xf numFmtId="43" fontId="10" fillId="0" borderId="0" xfId="0" applyNumberFormat="1" applyFont="1"/>
    <xf numFmtId="168" fontId="3" fillId="0" borderId="0" xfId="0" applyNumberFormat="1" applyFont="1"/>
    <xf numFmtId="166" fontId="3" fillId="0" borderId="0" xfId="0" applyNumberFormat="1" applyFont="1"/>
    <xf numFmtId="168" fontId="10" fillId="0" borderId="0" xfId="0" applyNumberFormat="1" applyFont="1"/>
    <xf numFmtId="168" fontId="3" fillId="2" borderId="5" xfId="4" applyNumberFormat="1" applyFont="1" applyFill="1" applyBorder="1" applyAlignment="1">
      <alignment horizontal="center" vertical="center"/>
    </xf>
    <xf numFmtId="165" fontId="3" fillId="2" borderId="5" xfId="4" applyNumberFormat="1" applyFont="1" applyFill="1" applyBorder="1" applyAlignment="1">
      <alignment horizontal="center" vertical="center"/>
    </xf>
    <xf numFmtId="166" fontId="7" fillId="2" borderId="1" xfId="4" applyNumberFormat="1" applyFont="1" applyFill="1" applyBorder="1" applyAlignment="1">
      <alignment horizontal="center" vertical="center" wrapText="1"/>
    </xf>
    <xf numFmtId="169" fontId="3" fillId="0" borderId="0" xfId="0" applyNumberFormat="1" applyFont="1"/>
    <xf numFmtId="166" fontId="10" fillId="0" borderId="0" xfId="0" applyNumberFormat="1" applyFont="1"/>
    <xf numFmtId="0" fontId="7" fillId="2" borderId="2" xfId="0" applyFont="1" applyFill="1" applyBorder="1"/>
    <xf numFmtId="0" fontId="7" fillId="2" borderId="5" xfId="0" applyFont="1" applyFill="1" applyBorder="1" applyAlignment="1">
      <alignment horizontal="left" vertical="center" wrapText="1"/>
    </xf>
    <xf numFmtId="0" fontId="3" fillId="2" borderId="0" xfId="0" applyFont="1" applyFill="1"/>
    <xf numFmtId="170" fontId="3" fillId="0" borderId="0" xfId="0" applyNumberFormat="1" applyFont="1"/>
    <xf numFmtId="167" fontId="7" fillId="2" borderId="5" xfId="0" applyNumberFormat="1" applyFont="1" applyFill="1" applyBorder="1" applyAlignment="1">
      <alignment horizontal="center" vertical="center" wrapText="1"/>
    </xf>
    <xf numFmtId="171" fontId="3" fillId="0" borderId="0" xfId="0" applyNumberFormat="1" applyFont="1"/>
    <xf numFmtId="172" fontId="7" fillId="2" borderId="5" xfId="0" applyNumberFormat="1" applyFont="1" applyFill="1" applyBorder="1" applyAlignment="1">
      <alignment horizontal="center" vertical="center" wrapText="1"/>
    </xf>
    <xf numFmtId="173" fontId="7" fillId="0" borderId="5" xfId="0" applyNumberFormat="1" applyFont="1" applyBorder="1" applyAlignment="1">
      <alignment horizontal="center" vertical="center" wrapText="1"/>
    </xf>
    <xf numFmtId="173" fontId="7" fillId="2" borderId="5" xfId="0" applyNumberFormat="1" applyFont="1" applyFill="1" applyBorder="1" applyAlignment="1">
      <alignment horizontal="center" vertical="center" wrapText="1"/>
    </xf>
    <xf numFmtId="168" fontId="11" fillId="0" borderId="0" xfId="0" applyNumberFormat="1" applyFont="1"/>
    <xf numFmtId="167" fontId="7" fillId="0" borderId="5" xfId="0" applyNumberFormat="1" applyFont="1" applyBorder="1" applyAlignment="1">
      <alignment horizontal="center" vertical="center" wrapText="1"/>
    </xf>
    <xf numFmtId="174" fontId="3" fillId="0" borderId="0" xfId="0" applyNumberFormat="1" applyFont="1"/>
    <xf numFmtId="0" fontId="4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8;&#1077;&#1072;&#1083;&#1080;&#1079;&#1072;&#1094;&#1080;&#1080;%20&#1091;&#1089;&#1083;&#1091;&#1075;/%20&#1052;&#1056;&#1057;&#1050;%20&#1042;&#1086;&#1083;&#1075;&#1080;/&#1055;&#1083;&#1072;&#1085;%202015/&#1092;&#1072;&#1082;&#1090;%20&#1055;&#1086;&#1090;&#1077;&#1088;&#1080;%202015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ПО_МРСК_ФСК"/>
      <sheetName val="сар"/>
      <sheetName val="сам "/>
      <sheetName val="ул"/>
      <sheetName val="ор"/>
      <sheetName val="чу"/>
      <sheetName val="пе"/>
      <sheetName val="мо"/>
      <sheetName val="СВОД"/>
      <sheetName val="сар (бух)"/>
      <sheetName val="сам (бух)"/>
      <sheetName val="ул (бух)"/>
      <sheetName val="ор (бух)"/>
      <sheetName val="пе (бух)"/>
      <sheetName val="чу (бух)"/>
      <sheetName val="мо (бух)"/>
      <sheetName val="СВОД (бух)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53">
          <cell r="E153">
            <v>29.75</v>
          </cell>
          <cell r="I153">
            <v>33.460999999999999</v>
          </cell>
          <cell r="L153">
            <v>44.195</v>
          </cell>
          <cell r="M153">
            <v>26.056999999999999</v>
          </cell>
          <cell r="N153">
            <v>15.914999999999999</v>
          </cell>
          <cell r="Q153">
            <v>42.982999999999997</v>
          </cell>
          <cell r="R153">
            <v>50.79</v>
          </cell>
          <cell r="S153">
            <v>71.760999999999996</v>
          </cell>
        </row>
        <row r="177">
          <cell r="I177">
            <v>8050</v>
          </cell>
          <cell r="L177">
            <v>8050</v>
          </cell>
          <cell r="M177">
            <v>8050</v>
          </cell>
          <cell r="N177">
            <v>8050</v>
          </cell>
          <cell r="Q177">
            <v>8050</v>
          </cell>
          <cell r="R177">
            <v>8050</v>
          </cell>
          <cell r="S177">
            <v>8050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C14" sqref="C14:C15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0" t="s">
        <v>28</v>
      </c>
      <c r="B3" s="50"/>
      <c r="C3" s="50"/>
      <c r="D3" s="50"/>
      <c r="E3" s="50"/>
      <c r="F3" s="50"/>
      <c r="G3" s="50"/>
      <c r="H3" s="50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1324.096</v>
      </c>
      <c r="E6" s="24"/>
      <c r="F6" s="45">
        <f>G6/D6</f>
        <v>2.8223040021267338</v>
      </c>
      <c r="G6" s="25">
        <v>3737.00144</v>
      </c>
      <c r="H6" s="43">
        <f>G6*20%</f>
        <v>747.40028800000005</v>
      </c>
      <c r="I6" s="43">
        <f>G6+H6</f>
        <v>4484.4017279999998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0.67900000000000005</v>
      </c>
      <c r="E7" s="24"/>
      <c r="F7" s="45">
        <f>G7/D7</f>
        <v>2.8222974963181144</v>
      </c>
      <c r="G7" s="25">
        <v>1.9163399999999999</v>
      </c>
      <c r="H7" s="43">
        <f>G7*20%</f>
        <v>0.383268</v>
      </c>
      <c r="I7" s="43">
        <f>G7+H7</f>
        <v>2.2996080000000001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/>
      <c r="E8" s="34"/>
      <c r="F8" s="44"/>
      <c r="G8" s="35"/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4"/>
      <c r="F9" s="44"/>
      <c r="G9" s="35"/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/>
      <c r="J15" s="30"/>
      <c r="K15" s="31"/>
    </row>
    <row r="16" spans="1:12" x14ac:dyDescent="0.3">
      <c r="G16" s="30"/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0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16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(бух)'!$M$153/1000</f>
        <v>2.6057E-2</v>
      </c>
      <c r="E6" s="14">
        <f>'[1]ор (бух)'!$M$177</f>
        <v>8050</v>
      </c>
      <c r="F6" s="15">
        <f t="shared" ref="F6" si="0">D6*E6/1000</f>
        <v>0.20975885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28515625" style="1" customWidth="1"/>
    <col min="3" max="3" width="31.570312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17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(бух)'!$N$153/1000</f>
        <v>1.5914999999999999E-2</v>
      </c>
      <c r="E6" s="14">
        <f>'[1]ор (бух)'!$N$177</f>
        <v>8050</v>
      </c>
      <c r="F6" s="15">
        <f t="shared" ref="F6" si="0">D6*E6/1000</f>
        <v>0.12811575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18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(бух)'!$Q$153/1000</f>
        <v>4.2983E-2</v>
      </c>
      <c r="E6" s="14">
        <f>'[1]ор (бух)'!$Q$177</f>
        <v>8050</v>
      </c>
      <c r="F6" s="15">
        <f t="shared" ref="F6" si="0">D6*E6/1000</f>
        <v>0.34601314999999999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19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(бух)'!$R$153/1000</f>
        <v>5.0790000000000002E-2</v>
      </c>
      <c r="E6" s="14">
        <f>'[1]ор (бух)'!$R$177</f>
        <v>8050</v>
      </c>
      <c r="F6" s="15">
        <f t="shared" ref="F6" si="0">D6*E6/1000</f>
        <v>0.40885950000000004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20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(бух)'!$S$153/1000</f>
        <v>7.1760999999999991E-2</v>
      </c>
      <c r="E6" s="14">
        <f>'[1]ор (бух)'!$S$177</f>
        <v>8050</v>
      </c>
      <c r="F6" s="15">
        <f t="shared" ref="F6" si="0">D6*E6/1000</f>
        <v>0.57767604999999989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A8" sqref="A8:XFD9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0" t="s">
        <v>29</v>
      </c>
      <c r="B3" s="50"/>
      <c r="C3" s="50"/>
      <c r="D3" s="50"/>
      <c r="E3" s="50"/>
      <c r="F3" s="50"/>
      <c r="G3" s="50"/>
      <c r="H3" s="50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1202.028</v>
      </c>
      <c r="E6" s="24"/>
      <c r="F6" s="45">
        <f>G6/D6</f>
        <v>3.1804980000465877</v>
      </c>
      <c r="G6" s="25">
        <v>3823.04765</v>
      </c>
      <c r="H6" s="43">
        <f>G6*20%</f>
        <v>764.60953000000006</v>
      </c>
      <c r="I6" s="43">
        <f>G6+H6</f>
        <v>4587.6571800000002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0.59699999999999998</v>
      </c>
      <c r="E7" s="24"/>
      <c r="F7" s="45">
        <f>G7/D7</f>
        <v>3.1805025125628141</v>
      </c>
      <c r="G7" s="25">
        <v>1.89876</v>
      </c>
      <c r="H7" s="43">
        <f>G7*20%</f>
        <v>0.37975200000000003</v>
      </c>
      <c r="I7" s="43">
        <f>G7+H7</f>
        <v>2.2785120000000001</v>
      </c>
    </row>
    <row r="8" spans="1:12" s="40" customFormat="1" ht="42.75" hidden="1" customHeight="1" thickBot="1" x14ac:dyDescent="0.35">
      <c r="A8" s="38" t="s">
        <v>30</v>
      </c>
      <c r="B8" s="39" t="s">
        <v>22</v>
      </c>
      <c r="C8" s="39" t="s">
        <v>23</v>
      </c>
      <c r="D8" s="33">
        <v>1941.433</v>
      </c>
      <c r="E8" s="34"/>
      <c r="F8" s="46">
        <f t="shared" ref="F8" si="0">G8/D8</f>
        <v>9.0099998300224637E-2</v>
      </c>
      <c r="G8" s="35">
        <v>174.92311000000001</v>
      </c>
      <c r="H8" s="40" t="s">
        <v>27</v>
      </c>
    </row>
    <row r="9" spans="1:12" s="40" customFormat="1" ht="45.75" hidden="1" customHeight="1" thickBot="1" x14ac:dyDescent="0.35">
      <c r="A9" s="38" t="s">
        <v>30</v>
      </c>
      <c r="B9" s="39" t="s">
        <v>22</v>
      </c>
      <c r="C9" s="39" t="s">
        <v>23</v>
      </c>
      <c r="D9" s="33"/>
      <c r="E9" s="33">
        <v>3.5070000000000001</v>
      </c>
      <c r="F9" s="46">
        <f>G9/E9</f>
        <v>256.08662104362702</v>
      </c>
      <c r="G9" s="35">
        <v>898.09577999999999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>
        <f>D6+D7+'январь  2024'!D6+'январь  2024'!D7</f>
        <v>2527.4</v>
      </c>
      <c r="J15" s="30"/>
      <c r="K15" s="31"/>
    </row>
    <row r="16" spans="1:12" x14ac:dyDescent="0.3">
      <c r="G16" s="30">
        <f>G6+G7+'январь  2024'!G6+'январь  2024'!G7</f>
        <v>7563.8641900000002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A8" sqref="A8:XFD9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0" t="s">
        <v>31</v>
      </c>
      <c r="B3" s="50"/>
      <c r="C3" s="50"/>
      <c r="D3" s="50"/>
      <c r="E3" s="50"/>
      <c r="F3" s="50"/>
      <c r="G3" s="50"/>
      <c r="H3" s="50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1234.575</v>
      </c>
      <c r="E6" s="24"/>
      <c r="F6" s="45">
        <f>G6/D6</f>
        <v>3.7573440009719943</v>
      </c>
      <c r="G6" s="25">
        <v>4638.7229699999998</v>
      </c>
      <c r="H6" s="43">
        <f>G6*20%</f>
        <v>927.74459400000001</v>
      </c>
      <c r="I6" s="43">
        <f>G6+H6</f>
        <v>5566.4675639999996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0.55600000000000005</v>
      </c>
      <c r="E7" s="24"/>
      <c r="F7" s="45">
        <f>G7/D7</f>
        <v>3.7573561151079136</v>
      </c>
      <c r="G7" s="25">
        <v>2.0890900000000001</v>
      </c>
      <c r="H7" s="43">
        <f>G7*20%</f>
        <v>0.41781800000000002</v>
      </c>
      <c r="I7" s="43">
        <f>G7+H7</f>
        <v>2.5069080000000001</v>
      </c>
    </row>
    <row r="8" spans="1:12" s="40" customFormat="1" ht="42.75" hidden="1" customHeight="1" thickBot="1" x14ac:dyDescent="0.35">
      <c r="A8" s="38" t="s">
        <v>30</v>
      </c>
      <c r="B8" s="39" t="s">
        <v>22</v>
      </c>
      <c r="C8" s="39" t="s">
        <v>23</v>
      </c>
      <c r="D8" s="33">
        <v>29.535</v>
      </c>
      <c r="E8" s="34"/>
      <c r="F8" s="46">
        <f t="shared" ref="F8" si="0">G8/D8</f>
        <v>1.8400839681733536</v>
      </c>
      <c r="G8" s="35">
        <v>54.346879999999999</v>
      </c>
      <c r="H8" s="40" t="s">
        <v>27</v>
      </c>
    </row>
    <row r="9" spans="1:12" s="40" customFormat="1" ht="45.75" hidden="1" customHeight="1" thickBot="1" x14ac:dyDescent="0.35">
      <c r="A9" s="38" t="s">
        <v>30</v>
      </c>
      <c r="B9" s="39" t="s">
        <v>22</v>
      </c>
      <c r="C9" s="39" t="s">
        <v>23</v>
      </c>
      <c r="D9" s="33"/>
      <c r="E9" s="33">
        <v>4.5999999999999999E-2</v>
      </c>
      <c r="F9" s="46">
        <f>G9/E9</f>
        <v>256.08652173913043</v>
      </c>
      <c r="G9" s="35">
        <v>11.77998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47">
        <f>D6+D7+'январь  2024'!D6+'январь  2024'!D7+'февраль  2024 '!D6+'февраль  2024 '!D7</f>
        <v>3762.5310000000004</v>
      </c>
      <c r="J15" s="30"/>
      <c r="K15" s="31"/>
    </row>
    <row r="16" spans="1:12" x14ac:dyDescent="0.3">
      <c r="G16" s="47">
        <f>G6+G7+'январь  2024'!G6+'январь  2024'!G7+'февраль  2024 '!G6+'февраль  2024 '!G7</f>
        <v>12204.67625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G15" sqref="G15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0" t="s">
        <v>32</v>
      </c>
      <c r="B3" s="50"/>
      <c r="C3" s="50"/>
      <c r="D3" s="50"/>
      <c r="E3" s="50"/>
      <c r="F3" s="50"/>
      <c r="G3" s="50"/>
      <c r="H3" s="50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1038.8610000000001</v>
      </c>
      <c r="E6" s="24"/>
      <c r="F6" s="48">
        <f>G6/D6</f>
        <v>3.0009500019733144</v>
      </c>
      <c r="G6" s="25">
        <v>3117.5699199999999</v>
      </c>
      <c r="H6" s="43">
        <f>G6*20%</f>
        <v>623.51398400000005</v>
      </c>
      <c r="I6" s="43">
        <f>G6+H6</f>
        <v>3741.0839040000001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0.39700000000000002</v>
      </c>
      <c r="E7" s="24"/>
      <c r="F7" s="48">
        <f>G7/D7</f>
        <v>3.0009319899244331</v>
      </c>
      <c r="G7" s="25">
        <v>1.19137</v>
      </c>
      <c r="H7" s="43">
        <f>G7*20%</f>
        <v>0.23827400000000001</v>
      </c>
      <c r="I7" s="43">
        <f>G7+H7</f>
        <v>1.4296440000000001</v>
      </c>
    </row>
    <row r="8" spans="1:12" s="40" customFormat="1" ht="42.75" hidden="1" customHeight="1" thickBot="1" x14ac:dyDescent="0.35">
      <c r="A8" s="38" t="s">
        <v>30</v>
      </c>
      <c r="B8" s="39" t="s">
        <v>22</v>
      </c>
      <c r="C8" s="39" t="s">
        <v>23</v>
      </c>
      <c r="D8" s="33">
        <v>0</v>
      </c>
      <c r="E8" s="34"/>
      <c r="F8" s="46" t="e">
        <f t="shared" ref="F8" si="0">G8/D8</f>
        <v>#DIV/0!</v>
      </c>
      <c r="G8" s="35">
        <v>54.346879999999999</v>
      </c>
      <c r="H8" s="40" t="s">
        <v>27</v>
      </c>
    </row>
    <row r="9" spans="1:12" s="40" customFormat="1" ht="45.75" hidden="1" customHeight="1" thickBot="1" x14ac:dyDescent="0.35">
      <c r="A9" s="38" t="s">
        <v>30</v>
      </c>
      <c r="B9" s="39" t="s">
        <v>22</v>
      </c>
      <c r="C9" s="39" t="s">
        <v>23</v>
      </c>
      <c r="D9" s="33"/>
      <c r="E9" s="33">
        <v>0</v>
      </c>
      <c r="F9" s="46" t="e">
        <f>G9/E9</f>
        <v>#DIV/0!</v>
      </c>
      <c r="G9" s="35">
        <v>11.77998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2">
        <f>'январь  2024'!G6+'январь  2024'!G7+'февраль  2024 '!G6+'февраль  2024 '!G7+'март 2024 '!G6+'март 2024 '!G7+'апрель 2024 '!G6+'апрель 2024 '!G7</f>
        <v>15323.437539999999</v>
      </c>
      <c r="J15" s="30"/>
      <c r="K15" s="31"/>
    </row>
    <row r="16" spans="1:12" x14ac:dyDescent="0.3">
      <c r="G16" s="47">
        <f>G6+G7+'январь  2024'!G6+'январь  2024'!G7+'февраль  2024 '!G6+'февраль  2024 '!G7</f>
        <v>10682.625480000001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G14" sqref="G14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0" t="s">
        <v>33</v>
      </c>
      <c r="B3" s="50"/>
      <c r="C3" s="50"/>
      <c r="D3" s="50"/>
      <c r="E3" s="50"/>
      <c r="F3" s="50"/>
      <c r="G3" s="50"/>
      <c r="H3" s="50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1046.336</v>
      </c>
      <c r="E6" s="24"/>
      <c r="F6" s="48">
        <f>G6/D6</f>
        <v>3.5134849990825128</v>
      </c>
      <c r="G6" s="25">
        <v>3676.28584</v>
      </c>
      <c r="H6" s="43">
        <f>G6*20%</f>
        <v>735.25716800000009</v>
      </c>
      <c r="I6" s="43">
        <f>G6+H6</f>
        <v>4411.5430080000006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0.52</v>
      </c>
      <c r="E7" s="24"/>
      <c r="F7" s="48">
        <f>G7/D7</f>
        <v>3.5134807692307692</v>
      </c>
      <c r="G7" s="25">
        <v>1.82701</v>
      </c>
      <c r="H7" s="43">
        <f>G7*20%</f>
        <v>0.365402</v>
      </c>
      <c r="I7" s="43">
        <f>G7+H7</f>
        <v>2.192412</v>
      </c>
    </row>
    <row r="8" spans="1:12" s="40" customFormat="1" ht="42.75" hidden="1" customHeight="1" thickBot="1" x14ac:dyDescent="0.35">
      <c r="A8" s="38" t="s">
        <v>30</v>
      </c>
      <c r="B8" s="39" t="s">
        <v>22</v>
      </c>
      <c r="C8" s="39" t="s">
        <v>23</v>
      </c>
      <c r="D8" s="33">
        <v>774.42899999999997</v>
      </c>
      <c r="E8" s="34"/>
      <c r="F8" s="46">
        <f t="shared" ref="F8" si="0">G8/D8</f>
        <v>0.11407000512635761</v>
      </c>
      <c r="G8" s="35">
        <v>88.339119999999994</v>
      </c>
      <c r="H8" s="40" t="s">
        <v>27</v>
      </c>
    </row>
    <row r="9" spans="1:12" s="40" customFormat="1" ht="45.75" hidden="1" customHeight="1" thickBot="1" x14ac:dyDescent="0.35">
      <c r="A9" s="38" t="s">
        <v>30</v>
      </c>
      <c r="B9" s="39" t="s">
        <v>22</v>
      </c>
      <c r="C9" s="39" t="s">
        <v>23</v>
      </c>
      <c r="D9" s="33"/>
      <c r="E9" s="33">
        <v>1.177</v>
      </c>
      <c r="F9" s="46">
        <f>G9/E9</f>
        <v>256.08661852166523</v>
      </c>
      <c r="G9" s="35">
        <v>301.41395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>
        <f>'апрель 2024 '!G15+'май  2024 '!G6+'май  2024 '!G7</f>
        <v>19001.55039</v>
      </c>
      <c r="J14" s="3"/>
      <c r="L14" s="3"/>
    </row>
    <row r="15" spans="1:12" x14ac:dyDescent="0.3">
      <c r="F15" s="26"/>
      <c r="G15" s="32">
        <f>'январь  2024'!D6+'январь  2024'!D7+'февраль  2024 '!D6+'февраль  2024 '!D7+'март 2024 '!D6+'март 2024 '!D7+'апрель 2024 '!D6+'апрель 2024 '!D7+'май  2024 '!D6+'май  2024 '!D7</f>
        <v>5848.6450000000013</v>
      </c>
      <c r="J15" s="30"/>
      <c r="K15" s="31"/>
    </row>
    <row r="16" spans="1:12" x14ac:dyDescent="0.3">
      <c r="G16" s="47">
        <f>G6+G7+'январь  2024'!G6+'январь  2024'!G7+'февраль  2024 '!G6+'февраль  2024 '!G7</f>
        <v>11241.97704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F18" sqref="F18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0" t="s">
        <v>34</v>
      </c>
      <c r="B3" s="50"/>
      <c r="C3" s="50"/>
      <c r="D3" s="50"/>
      <c r="E3" s="50"/>
      <c r="F3" s="50"/>
      <c r="G3" s="50"/>
      <c r="H3" s="50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941.45100000000002</v>
      </c>
      <c r="E6" s="24"/>
      <c r="F6" s="48">
        <f>G6/D6</f>
        <v>2.6882760016187777</v>
      </c>
      <c r="G6" s="25">
        <v>2530.88013</v>
      </c>
      <c r="H6" s="43">
        <f>G6*20%</f>
        <v>506.17602600000004</v>
      </c>
      <c r="I6" s="43">
        <f>G6+H6</f>
        <v>3037.0561560000001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0.46300000000000002</v>
      </c>
      <c r="E7" s="24"/>
      <c r="F7" s="48">
        <f>G7/D7</f>
        <v>2.6882721382289416</v>
      </c>
      <c r="G7" s="25">
        <v>1.2446699999999999</v>
      </c>
      <c r="H7" s="43">
        <f>G7*20%</f>
        <v>0.24893399999999999</v>
      </c>
      <c r="I7" s="43">
        <f>G7+H7</f>
        <v>1.4936039999999999</v>
      </c>
    </row>
    <row r="8" spans="1:12" s="40" customFormat="1" ht="42.75" customHeight="1" thickBot="1" x14ac:dyDescent="0.35">
      <c r="A8" s="38" t="s">
        <v>30</v>
      </c>
      <c r="B8" s="39" t="s">
        <v>22</v>
      </c>
      <c r="C8" s="39" t="s">
        <v>23</v>
      </c>
      <c r="D8" s="33">
        <v>365.14699999999999</v>
      </c>
      <c r="E8" s="34"/>
      <c r="F8" s="46">
        <f t="shared" ref="F8" si="0">G8/D8</f>
        <v>3.3889009084012739E-2</v>
      </c>
      <c r="G8" s="35">
        <v>12.374470000000001</v>
      </c>
      <c r="H8" s="40" t="s">
        <v>27</v>
      </c>
    </row>
    <row r="9" spans="1:12" s="40" customFormat="1" ht="45.75" customHeight="1" thickBot="1" x14ac:dyDescent="0.35">
      <c r="A9" s="38" t="s">
        <v>30</v>
      </c>
      <c r="B9" s="39" t="s">
        <v>22</v>
      </c>
      <c r="C9" s="39" t="s">
        <v>23</v>
      </c>
      <c r="D9" s="33"/>
      <c r="E9" s="33">
        <v>0.57899999999999996</v>
      </c>
      <c r="F9" s="46">
        <f>G9/E9</f>
        <v>256.08661485319516</v>
      </c>
      <c r="G9" s="35">
        <v>148.27414999999999</v>
      </c>
      <c r="H9" s="40" t="s">
        <v>27</v>
      </c>
    </row>
    <row r="10" spans="1:12" s="40" customFormat="1" ht="42.7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hidden="1" x14ac:dyDescent="0.3">
      <c r="G14" s="30">
        <f>'апрель 2024 '!G15+'июнь  2024 '!G6+'июнь  2024 '!G7</f>
        <v>17855.56234</v>
      </c>
      <c r="J14" s="3"/>
      <c r="L14" s="3"/>
    </row>
    <row r="15" spans="1:12" hidden="1" x14ac:dyDescent="0.3">
      <c r="F15" s="26"/>
      <c r="G15" s="32">
        <f>'январь  2024'!D6+'январь  2024'!D7+'февраль  2024 '!D6+'февраль  2024 '!D7+'март 2024 '!D6+'март 2024 '!D7+'апрель 2024 '!D6+'апрель 2024 '!D7+'июнь  2024 '!D6+'июнь  2024 '!D7</f>
        <v>5743.7030000000004</v>
      </c>
      <c r="J15" s="30"/>
      <c r="K15" s="31"/>
    </row>
    <row r="16" spans="1:12" x14ac:dyDescent="0.3">
      <c r="G16" s="47">
        <f>G6+G7+'январь  2024'!G6+'январь  2024'!G7+'февраль  2024 '!G6+'февраль  2024 '!G7</f>
        <v>10095.98899</v>
      </c>
      <c r="J16" s="31"/>
    </row>
    <row r="17" spans="4:10" x14ac:dyDescent="0.3">
      <c r="D17" s="31"/>
      <c r="G17" s="29"/>
    </row>
    <row r="18" spans="4:10" x14ac:dyDescent="0.3">
      <c r="F18" s="49">
        <f>19001.55039+G6+G7</f>
        <v>21533.675190000002</v>
      </c>
      <c r="G18" s="26"/>
      <c r="J18" s="31"/>
    </row>
    <row r="19" spans="4:10" x14ac:dyDescent="0.3">
      <c r="F19" s="30">
        <f>5848.645+D6+D7</f>
        <v>6790.5590000000002</v>
      </c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zoomScaleNormal="100" zoomScaleSheetLayoutView="80" workbookViewId="0">
      <selection activeCell="G24" sqref="G24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0" t="s">
        <v>35</v>
      </c>
      <c r="B3" s="50"/>
      <c r="C3" s="50"/>
      <c r="D3" s="50"/>
      <c r="E3" s="50"/>
      <c r="F3" s="50"/>
      <c r="G3" s="50"/>
      <c r="H3" s="50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994.73599999999999</v>
      </c>
      <c r="E6" s="24"/>
      <c r="F6" s="45">
        <f>G6/D6</f>
        <v>3.9122190008203179</v>
      </c>
      <c r="G6" s="25">
        <v>3891.6250799999998</v>
      </c>
      <c r="H6" s="43">
        <f>G6*20%</f>
        <v>778.32501600000001</v>
      </c>
      <c r="I6" s="43">
        <f>G6+H6</f>
        <v>4669.9500959999996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0.51100000000000001</v>
      </c>
      <c r="E7" s="24"/>
      <c r="F7" s="45">
        <f>G7/D7</f>
        <v>3.9122113502935418</v>
      </c>
      <c r="G7" s="25">
        <v>1.9991399999999999</v>
      </c>
      <c r="H7" s="43">
        <f>G7*20%</f>
        <v>0.39982800000000002</v>
      </c>
      <c r="I7" s="43">
        <f>G7+H7</f>
        <v>2.398968</v>
      </c>
    </row>
    <row r="8" spans="1:12" s="40" customFormat="1" ht="42.75" hidden="1" customHeight="1" thickBot="1" x14ac:dyDescent="0.35">
      <c r="A8" s="38" t="s">
        <v>30</v>
      </c>
      <c r="B8" s="39" t="s">
        <v>22</v>
      </c>
      <c r="C8" s="39" t="s">
        <v>23</v>
      </c>
      <c r="D8" s="33">
        <v>0</v>
      </c>
      <c r="E8" s="34"/>
      <c r="F8" s="46" t="e">
        <f t="shared" ref="F8" si="0">G8/D8</f>
        <v>#DIV/0!</v>
      </c>
      <c r="G8" s="35">
        <v>12.374470000000001</v>
      </c>
      <c r="H8" s="40" t="s">
        <v>27</v>
      </c>
    </row>
    <row r="9" spans="1:12" s="40" customFormat="1" ht="45.75" hidden="1" customHeight="1" thickBot="1" x14ac:dyDescent="0.35">
      <c r="A9" s="38" t="s">
        <v>30</v>
      </c>
      <c r="B9" s="39" t="s">
        <v>22</v>
      </c>
      <c r="C9" s="39" t="s">
        <v>23</v>
      </c>
      <c r="D9" s="33"/>
      <c r="E9" s="33">
        <v>0</v>
      </c>
      <c r="F9" s="46" t="e">
        <f>G9/E9</f>
        <v>#DIV/0!</v>
      </c>
      <c r="G9" s="35">
        <v>148.27414999999999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hidden="1" x14ac:dyDescent="0.3">
      <c r="G14" s="30">
        <f>'апрель 2024 '!G15+'июль  2024 '!G6+'июль  2024 '!G7</f>
        <v>19217.061759999997</v>
      </c>
      <c r="J14" s="3"/>
      <c r="L14" s="3"/>
    </row>
    <row r="15" spans="1:12" hidden="1" x14ac:dyDescent="0.3">
      <c r="F15" s="26"/>
      <c r="G15" s="32">
        <f>'январь  2024'!D6+'январь  2024'!D7+'февраль  2024 '!D6+'февраль  2024 '!D7+'март 2024 '!D6+'март 2024 '!D7+'апрель 2024 '!D6+'апрель 2024 '!D7+'июль  2024 '!D6+'июль  2024 '!D7</f>
        <v>5797.036000000001</v>
      </c>
      <c r="J15" s="30"/>
      <c r="K15" s="31"/>
    </row>
    <row r="16" spans="1:12" x14ac:dyDescent="0.3">
      <c r="G16" s="47">
        <f>G6+G7+'январь  2024'!G6+'январь  2024'!G7+'февраль  2024 '!G6+'февраль  2024 '!G7</f>
        <v>11457.48841</v>
      </c>
      <c r="J16" s="31"/>
    </row>
    <row r="17" spans="4:10" x14ac:dyDescent="0.3">
      <c r="D17" s="31"/>
      <c r="G17" s="29"/>
    </row>
    <row r="18" spans="4:10" x14ac:dyDescent="0.3">
      <c r="F18" s="49"/>
      <c r="G18" s="26"/>
      <c r="J18" s="31"/>
    </row>
    <row r="19" spans="4:10" x14ac:dyDescent="0.3">
      <c r="F19" s="30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140625" style="1" customWidth="1"/>
    <col min="3" max="3" width="29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14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x14ac:dyDescent="0.3">
      <c r="A6" s="4" t="s">
        <v>13</v>
      </c>
      <c r="B6" s="7" t="s">
        <v>11</v>
      </c>
      <c r="C6" s="8" t="s">
        <v>12</v>
      </c>
      <c r="D6" s="22">
        <f>'[1]ор (бух)'!$I$153/1000</f>
        <v>3.3460999999999998E-2</v>
      </c>
      <c r="E6" s="9">
        <f>'[1]ор (бух)'!$I$177</f>
        <v>8050</v>
      </c>
      <c r="F6" s="10">
        <f t="shared" ref="F6" si="0">D6*E6/1000</f>
        <v>0.26936104999999999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15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(бух)'!$L$153/1000</f>
        <v>4.4194999999999998E-2</v>
      </c>
      <c r="E6" s="14">
        <f>'[1]ор (бух)'!$L$177</f>
        <v>8050</v>
      </c>
      <c r="F6" s="15">
        <f t="shared" ref="F6" si="0">D6*E6/1000</f>
        <v>0.35576975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январь  2024</vt:lpstr>
      <vt:lpstr>февраль  2024 </vt:lpstr>
      <vt:lpstr>март 2024 </vt:lpstr>
      <vt:lpstr>апрель 2024 </vt:lpstr>
      <vt:lpstr>май  2024 </vt:lpstr>
      <vt:lpstr>июнь  2024 </vt:lpstr>
      <vt:lpstr>июль  2024 </vt:lpstr>
      <vt:lpstr>июнь 2015</vt:lpstr>
      <vt:lpstr>июль 2015</vt:lpstr>
      <vt:lpstr>август 2015</vt:lpstr>
      <vt:lpstr>сентябрь 2015</vt:lpstr>
      <vt:lpstr>октябрь 2015</vt:lpstr>
      <vt:lpstr>ноябрь 2015</vt:lpstr>
      <vt:lpstr>декабрь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Черепашкина Наталья Юрьевна</cp:lastModifiedBy>
  <cp:lastPrinted>2023-07-07T10:24:18Z</cp:lastPrinted>
  <dcterms:created xsi:type="dcterms:W3CDTF">2015-04-01T08:30:50Z</dcterms:created>
  <dcterms:modified xsi:type="dcterms:W3CDTF">2024-08-14T07:35:18Z</dcterms:modified>
</cp:coreProperties>
</file>